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ACIÓN WEB\6-MERCADO EXTERNO\BALANZA COMERCIAL\"/>
    </mc:Choice>
  </mc:AlternateContent>
  <bookViews>
    <workbookView xWindow="240" yWindow="75" windowWidth="15600" windowHeight="799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R29" i="1" l="1"/>
  <c r="R28" i="1"/>
  <c r="R27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Q29" i="1" l="1"/>
  <c r="P29" i="1"/>
  <c r="O29" i="1"/>
  <c r="N29" i="1"/>
  <c r="M29" i="1"/>
  <c r="L29" i="1"/>
  <c r="Q28" i="1"/>
  <c r="P28" i="1"/>
  <c r="O28" i="1"/>
  <c r="N28" i="1"/>
  <c r="M28" i="1"/>
  <c r="L28" i="1"/>
  <c r="Q27" i="1"/>
  <c r="P27" i="1"/>
  <c r="O27" i="1"/>
  <c r="N27" i="1"/>
  <c r="M27" i="1"/>
  <c r="L27" i="1"/>
  <c r="Q25" i="1"/>
  <c r="P25" i="1"/>
  <c r="O25" i="1"/>
  <c r="N25" i="1"/>
  <c r="M25" i="1"/>
  <c r="L25" i="1"/>
  <c r="Q24" i="1"/>
  <c r="P24" i="1"/>
  <c r="O24" i="1"/>
  <c r="N24" i="1"/>
  <c r="M24" i="1"/>
  <c r="L24" i="1"/>
  <c r="Q23" i="1"/>
  <c r="P23" i="1"/>
  <c r="O23" i="1"/>
  <c r="N23" i="1"/>
  <c r="M23" i="1"/>
  <c r="L23" i="1"/>
  <c r="N22" i="1"/>
  <c r="M22" i="1"/>
  <c r="L22" i="1"/>
  <c r="Q21" i="1"/>
  <c r="P21" i="1"/>
  <c r="O21" i="1"/>
  <c r="M21" i="1"/>
  <c r="L20" i="1"/>
  <c r="Q19" i="1"/>
  <c r="P19" i="1"/>
  <c r="O19" i="1"/>
  <c r="N19" i="1"/>
  <c r="M19" i="1"/>
  <c r="L19" i="1"/>
  <c r="P17" i="1"/>
  <c r="O17" i="1"/>
  <c r="N17" i="1"/>
  <c r="M17" i="1"/>
  <c r="L17" i="1"/>
  <c r="Q18" i="1"/>
  <c r="P18" i="1"/>
  <c r="P16" i="1"/>
  <c r="O16" i="1"/>
  <c r="N16" i="1"/>
  <c r="M16" i="1"/>
  <c r="Q15" i="1"/>
  <c r="P15" i="1"/>
  <c r="O15" i="1"/>
  <c r="N15" i="1"/>
  <c r="M15" i="1"/>
  <c r="L15" i="1"/>
  <c r="Q14" i="1"/>
  <c r="P14" i="1"/>
  <c r="O14" i="1"/>
  <c r="N14" i="1"/>
  <c r="M14" i="1"/>
  <c r="L14" i="1"/>
  <c r="Q13" i="1"/>
  <c r="P13" i="1"/>
  <c r="O13" i="1"/>
  <c r="N13" i="1"/>
  <c r="M13" i="1"/>
  <c r="L13" i="1"/>
  <c r="Q12" i="1"/>
  <c r="P12" i="1"/>
  <c r="O12" i="1"/>
  <c r="N12" i="1"/>
  <c r="M12" i="1"/>
  <c r="L12" i="1"/>
  <c r="Q11" i="1"/>
  <c r="P11" i="1"/>
  <c r="O11" i="1"/>
  <c r="N11" i="1"/>
  <c r="M11" i="1"/>
  <c r="L11" i="1"/>
  <c r="Q8" i="1"/>
  <c r="P8" i="1"/>
  <c r="O8" i="1"/>
  <c r="N8" i="1"/>
  <c r="M8" i="1"/>
  <c r="L8" i="1"/>
  <c r="Q7" i="1"/>
  <c r="P7" i="1"/>
  <c r="O7" i="1"/>
  <c r="N7" i="1"/>
  <c r="M7" i="1"/>
  <c r="Q6" i="1"/>
  <c r="P6" i="1"/>
  <c r="O6" i="1"/>
  <c r="N6" i="1"/>
  <c r="M6" i="1"/>
  <c r="L6" i="1"/>
  <c r="Q5" i="1"/>
  <c r="P5" i="1"/>
</calcChain>
</file>

<file path=xl/sharedStrings.xml><?xml version="1.0" encoding="utf-8"?>
<sst xmlns="http://schemas.openxmlformats.org/spreadsheetml/2006/main" count="34" uniqueCount="34">
  <si>
    <t>Leche Fuida (1)</t>
  </si>
  <si>
    <t>Leche en Polvo Entera</t>
  </si>
  <si>
    <t>Leche en Polvo Descremada</t>
  </si>
  <si>
    <t>Leche Maternizada (2)</t>
  </si>
  <si>
    <t>Leche Condensada</t>
  </si>
  <si>
    <t>Dulce de Leche</t>
  </si>
  <si>
    <t>Queso Pasta Blanda</t>
  </si>
  <si>
    <t>Queso Pasta Semidura</t>
  </si>
  <si>
    <t>Queso Pasta Dura</t>
  </si>
  <si>
    <t>Queso Rallado</t>
  </si>
  <si>
    <t>Queso Fundido</t>
  </si>
  <si>
    <t>Otros quesos</t>
  </si>
  <si>
    <t>Manteca</t>
  </si>
  <si>
    <t>Aceite butírico</t>
  </si>
  <si>
    <t>Otros fermentados (3)</t>
  </si>
  <si>
    <t>Caseina</t>
  </si>
  <si>
    <t>Caseinatos</t>
  </si>
  <si>
    <t>Suero</t>
  </si>
  <si>
    <t>Derivados suero</t>
  </si>
  <si>
    <t>Lactosa</t>
  </si>
  <si>
    <t>Helados</t>
  </si>
  <si>
    <t>Otros</t>
  </si>
  <si>
    <t>Crema</t>
  </si>
  <si>
    <t>Yogurt</t>
  </si>
  <si>
    <t>(1) = expresada en equivalente leche en polvo</t>
  </si>
  <si>
    <t>(2) = leche en polvo modificada</t>
  </si>
  <si>
    <t>(3) = otros productos fermentados que no son yogurt</t>
  </si>
  <si>
    <t>Otros = leche concentrada y otros</t>
  </si>
  <si>
    <t>PRODUCTO</t>
  </si>
  <si>
    <t>Mozzarella</t>
  </si>
  <si>
    <t>Fuente: INDEC - Aduana - SeNaSa</t>
  </si>
  <si>
    <t>estadisticaslecheria@magyp.gob.ar</t>
  </si>
  <si>
    <t>Elaborados por la Subsecretaría de Lechería - Ministerio de Agroindustria</t>
  </si>
  <si>
    <t>Balanza comercial por producto (millones de USD por año 2000-2017)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</si>
</sst>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8"/>
      <color rgb="FF000000"/>
      <name val="Trebuchet MS"/>
      <family val="2"/>
    </font>
    <font>
      <u/>
      <sz val="12"/>
      <color theme="10"/>
      <name val="Trebuchet MS"/>
      <family val="2"/>
    </font>
    <font>
      <u/>
      <sz val="8"/>
      <color theme="10"/>
      <name val="Trebuchet MS"/>
      <family val="2"/>
    </font>
    <font>
      <b/>
      <sz val="8"/>
      <color theme="1"/>
      <name val="Trebuchet MS"/>
      <family val="2"/>
    </font>
    <font>
      <b/>
      <sz val="10"/>
      <color theme="3" tint="-0.249977111117893"/>
      <name val="Trebuchet MS"/>
      <family val="2"/>
    </font>
    <font>
      <b/>
      <sz val="8"/>
      <color theme="0"/>
      <name val="Trebuchet MS"/>
      <family val="2"/>
    </font>
    <font>
      <sz val="8"/>
      <color theme="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4" fillId="6" borderId="0" xfId="0" applyFont="1" applyFill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7" fillId="3" borderId="0" xfId="1" applyFont="1" applyFill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38" fontId="4" fillId="4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F81BD"/>
      <color rgb="FF9BC2E6"/>
      <color rgb="FFDDEBF7"/>
      <color rgb="FFDD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adisticaslecheria@magyp.gob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1"/>
  <sheetViews>
    <sheetView tabSelected="1" workbookViewId="0">
      <pane xSplit="1" topLeftCell="B1" activePane="topRight" state="frozen"/>
      <selection pane="topRight" activeCell="D11" sqref="D11"/>
    </sheetView>
  </sheetViews>
  <sheetFormatPr baseColWidth="10" defaultColWidth="26.42578125" defaultRowHeight="16.5" x14ac:dyDescent="0.25"/>
  <cols>
    <col min="1" max="1" width="39.140625" style="4" customWidth="1"/>
    <col min="2" max="19" width="13.5703125" style="1" customWidth="1"/>
    <col min="20" max="20" width="11" style="1" customWidth="1"/>
    <col min="21" max="21" width="12.7109375" style="1" customWidth="1"/>
    <col min="22" max="16384" width="26.42578125" style="1"/>
  </cols>
  <sheetData>
    <row r="2" spans="1:19" ht="16.5" customHeight="1" x14ac:dyDescent="0.25">
      <c r="A2" s="17" t="s">
        <v>33</v>
      </c>
      <c r="B2" s="17"/>
      <c r="C2" s="17"/>
      <c r="D2" s="17"/>
      <c r="E2" s="17"/>
      <c r="F2" s="17"/>
      <c r="G2" s="17"/>
    </row>
    <row r="4" spans="1:19" x14ac:dyDescent="0.25">
      <c r="A4" s="13" t="s">
        <v>28</v>
      </c>
      <c r="B4" s="14">
        <v>2000</v>
      </c>
      <c r="C4" s="14">
        <v>2001</v>
      </c>
      <c r="D4" s="14">
        <v>2002</v>
      </c>
      <c r="E4" s="14">
        <v>2003</v>
      </c>
      <c r="F4" s="14">
        <v>2004</v>
      </c>
      <c r="G4" s="14">
        <v>2005</v>
      </c>
      <c r="H4" s="14">
        <v>2006</v>
      </c>
      <c r="I4" s="14">
        <v>2007</v>
      </c>
      <c r="J4" s="14">
        <v>2008</v>
      </c>
      <c r="K4" s="14">
        <v>2009</v>
      </c>
      <c r="L4" s="14">
        <v>2010</v>
      </c>
      <c r="M4" s="14">
        <v>2011</v>
      </c>
      <c r="N4" s="14">
        <v>2012</v>
      </c>
      <c r="O4" s="14">
        <v>2013</v>
      </c>
      <c r="P4" s="14">
        <v>2014</v>
      </c>
      <c r="Q4" s="14">
        <v>2015</v>
      </c>
      <c r="R4" s="14">
        <v>2016</v>
      </c>
      <c r="S4" s="14">
        <v>2017</v>
      </c>
    </row>
    <row r="5" spans="1:19" x14ac:dyDescent="0.25">
      <c r="A5" s="15" t="s">
        <v>0</v>
      </c>
      <c r="B5" s="16">
        <v>6798</v>
      </c>
      <c r="C5" s="16">
        <v>-716</v>
      </c>
      <c r="D5" s="16">
        <v>2427</v>
      </c>
      <c r="E5" s="16">
        <v>-5739</v>
      </c>
      <c r="F5" s="16">
        <v>-122</v>
      </c>
      <c r="G5" s="16">
        <v>4053</v>
      </c>
      <c r="H5" s="16">
        <v>6062</v>
      </c>
      <c r="I5" s="16">
        <v>5389</v>
      </c>
      <c r="J5" s="16">
        <v>15330</v>
      </c>
      <c r="K5" s="16">
        <v>10910</v>
      </c>
      <c r="L5" s="16">
        <v>11109</v>
      </c>
      <c r="M5" s="16">
        <v>10683</v>
      </c>
      <c r="N5" s="16">
        <v>3730</v>
      </c>
      <c r="O5" s="16">
        <v>3075</v>
      </c>
      <c r="P5" s="16">
        <f>2637-2</f>
        <v>2635</v>
      </c>
      <c r="Q5" s="16">
        <f>1703-4</f>
        <v>1699</v>
      </c>
      <c r="R5" s="16">
        <v>769.39072999999996</v>
      </c>
      <c r="S5" s="16">
        <v>931.85623831176758</v>
      </c>
    </row>
    <row r="6" spans="1:19" x14ac:dyDescent="0.25">
      <c r="A6" s="15" t="s">
        <v>1</v>
      </c>
      <c r="B6" s="16">
        <v>184964</v>
      </c>
      <c r="C6" s="16">
        <v>168210</v>
      </c>
      <c r="D6" s="16">
        <v>193913</v>
      </c>
      <c r="E6" s="16">
        <v>177465</v>
      </c>
      <c r="F6" s="16">
        <v>360951</v>
      </c>
      <c r="G6" s="16">
        <v>357859</v>
      </c>
      <c r="H6" s="16">
        <v>465498</v>
      </c>
      <c r="I6" s="16">
        <v>308145</v>
      </c>
      <c r="J6" s="16">
        <v>385073</v>
      </c>
      <c r="K6" s="16">
        <v>339644</v>
      </c>
      <c r="L6" s="16">
        <f>453496-1488</f>
        <v>452008</v>
      </c>
      <c r="M6" s="16">
        <f>843162-0</f>
        <v>843162</v>
      </c>
      <c r="N6" s="16">
        <f>769304-10605</f>
        <v>758699</v>
      </c>
      <c r="O6" s="16">
        <f>845004-1134</f>
        <v>843870</v>
      </c>
      <c r="P6" s="16">
        <f>702173-36</f>
        <v>702137</v>
      </c>
      <c r="Q6" s="16">
        <f>496027-1321</f>
        <v>494706</v>
      </c>
      <c r="R6" s="16">
        <v>294062.84110000002</v>
      </c>
      <c r="S6" s="16">
        <v>229679.60057796325</v>
      </c>
    </row>
    <row r="7" spans="1:19" x14ac:dyDescent="0.25">
      <c r="A7" s="15" t="s">
        <v>2</v>
      </c>
      <c r="B7" s="16">
        <v>41417</v>
      </c>
      <c r="C7" s="16">
        <v>40039</v>
      </c>
      <c r="D7" s="16">
        <v>30066</v>
      </c>
      <c r="E7" s="16">
        <v>18746</v>
      </c>
      <c r="F7" s="16">
        <v>33254</v>
      </c>
      <c r="G7" s="16">
        <v>35425</v>
      </c>
      <c r="H7" s="16">
        <v>51373</v>
      </c>
      <c r="I7" s="16">
        <v>35604</v>
      </c>
      <c r="J7" s="16">
        <v>55900</v>
      </c>
      <c r="K7" s="16">
        <v>30449</v>
      </c>
      <c r="L7" s="16">
        <v>62879</v>
      </c>
      <c r="M7" s="16">
        <f>68956-2</f>
        <v>68954</v>
      </c>
      <c r="N7" s="16">
        <f>49888-299</f>
        <v>49589</v>
      </c>
      <c r="O7" s="16">
        <f>106507-57</f>
        <v>106450</v>
      </c>
      <c r="P7" s="16">
        <f>91808-59</f>
        <v>91749</v>
      </c>
      <c r="Q7" s="16">
        <f>62144-50</f>
        <v>62094</v>
      </c>
      <c r="R7" s="16">
        <f>57283.35021-337.44688</f>
        <v>56945.903329999994</v>
      </c>
      <c r="S7" s="16">
        <v>51520.946385136718</v>
      </c>
    </row>
    <row r="8" spans="1:19" x14ac:dyDescent="0.25">
      <c r="A8" s="15" t="s">
        <v>3</v>
      </c>
      <c r="B8" s="16">
        <v>-863</v>
      </c>
      <c r="C8" s="16">
        <v>116</v>
      </c>
      <c r="D8" s="16">
        <v>6261</v>
      </c>
      <c r="E8" s="16">
        <v>9261</v>
      </c>
      <c r="F8" s="16">
        <v>5651</v>
      </c>
      <c r="G8" s="16">
        <v>10479</v>
      </c>
      <c r="H8" s="16">
        <v>6512</v>
      </c>
      <c r="I8" s="16">
        <v>46592</v>
      </c>
      <c r="J8" s="16">
        <v>149145</v>
      </c>
      <c r="K8" s="16">
        <v>32599</v>
      </c>
      <c r="L8" s="16">
        <f>67240-3434</f>
        <v>63806</v>
      </c>
      <c r="M8" s="16">
        <f>95901-5669</f>
        <v>90232</v>
      </c>
      <c r="N8" s="16">
        <f>112161-6767</f>
        <v>105394</v>
      </c>
      <c r="O8" s="16">
        <f>135529-4474</f>
        <v>131055</v>
      </c>
      <c r="P8" s="16">
        <f>159103-4046</f>
        <v>155057</v>
      </c>
      <c r="Q8" s="16">
        <f>64461-5007</f>
        <v>59454</v>
      </c>
      <c r="R8" s="16">
        <f>26908.73405-5056.94898</f>
        <v>21851.785069999998</v>
      </c>
      <c r="S8" s="16">
        <v>20946.768259152832</v>
      </c>
    </row>
    <row r="9" spans="1:19" x14ac:dyDescent="0.25">
      <c r="A9" s="15" t="s">
        <v>4</v>
      </c>
      <c r="B9" s="16">
        <v>199</v>
      </c>
      <c r="C9" s="16">
        <v>-2</v>
      </c>
      <c r="D9" s="16">
        <v>67</v>
      </c>
      <c r="E9" s="16">
        <v>53</v>
      </c>
      <c r="F9" s="16">
        <v>-551</v>
      </c>
      <c r="G9" s="16">
        <v>-990</v>
      </c>
      <c r="H9" s="16">
        <v>-991</v>
      </c>
      <c r="I9" s="16">
        <v>-1387</v>
      </c>
      <c r="J9" s="16">
        <v>-1936</v>
      </c>
      <c r="K9" s="16">
        <v>-1891</v>
      </c>
      <c r="L9" s="16">
        <v>-2731</v>
      </c>
      <c r="M9" s="16">
        <v>-2514</v>
      </c>
      <c r="N9" s="16">
        <v>-2764</v>
      </c>
      <c r="O9" s="16">
        <v>-2672</v>
      </c>
      <c r="P9" s="16">
        <v>-3195</v>
      </c>
      <c r="Q9" s="16">
        <v>-2595</v>
      </c>
      <c r="R9" s="16">
        <f>0-2199.33099</f>
        <v>-2199.3309899999999</v>
      </c>
      <c r="S9" s="16">
        <v>-3305.0989603321837</v>
      </c>
    </row>
    <row r="10" spans="1:19" x14ac:dyDescent="0.25">
      <c r="A10" s="15" t="s">
        <v>5</v>
      </c>
      <c r="B10" s="16">
        <v>2337</v>
      </c>
      <c r="C10" s="16">
        <v>2528</v>
      </c>
      <c r="D10" s="16">
        <v>2166</v>
      </c>
      <c r="E10" s="16">
        <v>2776</v>
      </c>
      <c r="F10" s="16">
        <v>4433</v>
      </c>
      <c r="G10" s="16">
        <v>5647</v>
      </c>
      <c r="H10" s="16">
        <v>6531</v>
      </c>
      <c r="I10" s="16">
        <v>7922</v>
      </c>
      <c r="J10" s="16">
        <v>10327</v>
      </c>
      <c r="K10" s="16">
        <v>9562</v>
      </c>
      <c r="L10" s="16">
        <v>12562</v>
      </c>
      <c r="M10" s="16">
        <v>12117</v>
      </c>
      <c r="N10" s="16">
        <v>10648</v>
      </c>
      <c r="O10" s="16">
        <v>10124</v>
      </c>
      <c r="P10" s="16">
        <v>9819</v>
      </c>
      <c r="Q10" s="16">
        <v>8615</v>
      </c>
      <c r="R10" s="16">
        <f>8128.55895-54.79968</f>
        <v>8073.7592699999996</v>
      </c>
      <c r="S10" s="16">
        <v>7858.9007868872068</v>
      </c>
    </row>
    <row r="11" spans="1:19" x14ac:dyDescent="0.25">
      <c r="A11" s="15" t="s">
        <v>6</v>
      </c>
      <c r="B11" s="16">
        <v>7436</v>
      </c>
      <c r="C11" s="16">
        <v>1215</v>
      </c>
      <c r="D11" s="16">
        <v>5801</v>
      </c>
      <c r="E11" s="16">
        <v>5076</v>
      </c>
      <c r="F11" s="16">
        <v>8701</v>
      </c>
      <c r="G11" s="16">
        <v>16878</v>
      </c>
      <c r="H11" s="16">
        <v>36616</v>
      </c>
      <c r="I11" s="16">
        <v>43924</v>
      </c>
      <c r="J11" s="16">
        <v>50913</v>
      </c>
      <c r="K11" s="16">
        <v>50364</v>
      </c>
      <c r="L11" s="16">
        <f>77269-1323</f>
        <v>75946</v>
      </c>
      <c r="M11" s="16">
        <f>124505-1789</f>
        <v>122716</v>
      </c>
      <c r="N11" s="16">
        <f>109567-1252</f>
        <v>108315</v>
      </c>
      <c r="O11" s="16">
        <f>5147-1127</f>
        <v>4020</v>
      </c>
      <c r="P11" s="16">
        <f>5531-827</f>
        <v>4704</v>
      </c>
      <c r="Q11" s="16">
        <f>9005-609</f>
        <v>8396</v>
      </c>
      <c r="R11" s="16">
        <f>8750.63568-1272.01851</f>
        <v>7478.6171699999995</v>
      </c>
      <c r="S11" s="16">
        <v>7138.8018716069037</v>
      </c>
    </row>
    <row r="12" spans="1:19" x14ac:dyDescent="0.25">
      <c r="A12" s="15" t="s">
        <v>7</v>
      </c>
      <c r="B12" s="16">
        <v>6536</v>
      </c>
      <c r="C12" s="16">
        <v>7944</v>
      </c>
      <c r="D12" s="16">
        <v>21208</v>
      </c>
      <c r="E12" s="16">
        <v>17541</v>
      </c>
      <c r="F12" s="16">
        <v>42248</v>
      </c>
      <c r="G12" s="16">
        <v>60206</v>
      </c>
      <c r="H12" s="16">
        <v>68474</v>
      </c>
      <c r="I12" s="16">
        <v>65279</v>
      </c>
      <c r="J12" s="16">
        <v>48711</v>
      </c>
      <c r="K12" s="16">
        <v>45095</v>
      </c>
      <c r="L12" s="16">
        <f>66417-509</f>
        <v>65908</v>
      </c>
      <c r="M12" s="16">
        <f>97950-968</f>
        <v>96982</v>
      </c>
      <c r="N12" s="16">
        <f>77908-724</f>
        <v>77184</v>
      </c>
      <c r="O12" s="16">
        <f>93725-168</f>
        <v>93557</v>
      </c>
      <c r="P12" s="16">
        <f>121735-742</f>
        <v>120993</v>
      </c>
      <c r="Q12" s="16">
        <f>51173-70</f>
        <v>51103</v>
      </c>
      <c r="R12" s="16">
        <f>44459.18174-157.91933</f>
        <v>44301.262410000003</v>
      </c>
      <c r="S12" s="16">
        <v>42637.750388835455</v>
      </c>
    </row>
    <row r="13" spans="1:19" x14ac:dyDescent="0.25">
      <c r="A13" s="15" t="s">
        <v>8</v>
      </c>
      <c r="B13" s="16">
        <v>24188</v>
      </c>
      <c r="C13" s="16">
        <v>23930</v>
      </c>
      <c r="D13" s="16">
        <v>24537</v>
      </c>
      <c r="E13" s="16">
        <v>27711</v>
      </c>
      <c r="F13" s="16">
        <v>31759</v>
      </c>
      <c r="G13" s="16">
        <v>59503</v>
      </c>
      <c r="H13" s="16">
        <v>50516</v>
      </c>
      <c r="I13" s="16">
        <v>29074</v>
      </c>
      <c r="J13" s="16">
        <v>64697</v>
      </c>
      <c r="K13" s="16">
        <v>44738</v>
      </c>
      <c r="L13" s="16">
        <f>39047-162</f>
        <v>38885</v>
      </c>
      <c r="M13" s="16">
        <f>56145-398</f>
        <v>55747</v>
      </c>
      <c r="N13" s="16">
        <f>56776-16</f>
        <v>56760</v>
      </c>
      <c r="O13" s="16">
        <f>37207-88</f>
        <v>37119</v>
      </c>
      <c r="P13" s="16">
        <f>47606-81</f>
        <v>47525</v>
      </c>
      <c r="Q13" s="16">
        <f>46257-283</f>
        <v>45974</v>
      </c>
      <c r="R13" s="16">
        <f>37176.81274-1887.11031</f>
        <v>35289.702430000005</v>
      </c>
      <c r="S13" s="16">
        <v>45489.641343448486</v>
      </c>
    </row>
    <row r="14" spans="1:19" x14ac:dyDescent="0.25">
      <c r="A14" s="15" t="s">
        <v>9</v>
      </c>
      <c r="B14" s="16">
        <v>3690</v>
      </c>
      <c r="C14" s="16">
        <v>3454</v>
      </c>
      <c r="D14" s="16">
        <v>1870</v>
      </c>
      <c r="E14" s="16">
        <v>1183</v>
      </c>
      <c r="F14" s="16">
        <v>1690</v>
      </c>
      <c r="G14" s="16">
        <v>2574</v>
      </c>
      <c r="H14" s="16">
        <v>3205</v>
      </c>
      <c r="I14" s="16">
        <v>2805</v>
      </c>
      <c r="J14" s="16">
        <v>1977</v>
      </c>
      <c r="K14" s="16">
        <v>3250</v>
      </c>
      <c r="L14" s="16">
        <f>5924-1390</f>
        <v>4534</v>
      </c>
      <c r="M14" s="16">
        <f>7474-1422</f>
        <v>6052</v>
      </c>
      <c r="N14" s="16">
        <f>9299-1347</f>
        <v>7952</v>
      </c>
      <c r="O14" s="16">
        <f>9283-1168</f>
        <v>8115</v>
      </c>
      <c r="P14" s="16">
        <f>9139-1479</f>
        <v>7660</v>
      </c>
      <c r="Q14" s="16">
        <f>7531-1402</f>
        <v>6129</v>
      </c>
      <c r="R14" s="16">
        <f>6307.57127-1053.0564</f>
        <v>5254.5148700000009</v>
      </c>
      <c r="S14" s="16">
        <v>5053.7188100219728</v>
      </c>
    </row>
    <row r="15" spans="1:19" x14ac:dyDescent="0.25">
      <c r="A15" s="15" t="s">
        <v>10</v>
      </c>
      <c r="B15" s="16">
        <v>-4884</v>
      </c>
      <c r="C15" s="16">
        <v>-3938</v>
      </c>
      <c r="D15" s="16">
        <v>-1842</v>
      </c>
      <c r="E15" s="16">
        <v>-1397</v>
      </c>
      <c r="F15" s="16">
        <v>-953</v>
      </c>
      <c r="G15" s="16">
        <v>-2238</v>
      </c>
      <c r="H15" s="16">
        <v>-2973</v>
      </c>
      <c r="I15" s="16">
        <v>-4926</v>
      </c>
      <c r="J15" s="16">
        <v>-8309</v>
      </c>
      <c r="K15" s="16">
        <v>-6919</v>
      </c>
      <c r="L15" s="16">
        <f>903-11174</f>
        <v>-10271</v>
      </c>
      <c r="M15" s="16">
        <f>890-12476</f>
        <v>-11586</v>
      </c>
      <c r="N15" s="16">
        <f>885-13689</f>
        <v>-12804</v>
      </c>
      <c r="O15" s="16">
        <f>1240-13227</f>
        <v>-11987</v>
      </c>
      <c r="P15" s="16">
        <f>1121-11058</f>
        <v>-9937</v>
      </c>
      <c r="Q15" s="16">
        <f>851-3879</f>
        <v>-3028</v>
      </c>
      <c r="R15" s="16">
        <f>785.44708-7164.50596</f>
        <v>-6379.0588800000005</v>
      </c>
      <c r="S15" s="16">
        <v>-14000.723236651611</v>
      </c>
    </row>
    <row r="16" spans="1:19" x14ac:dyDescent="0.25">
      <c r="A16" s="15" t="s">
        <v>11</v>
      </c>
      <c r="B16" s="16">
        <v>105</v>
      </c>
      <c r="C16" s="16">
        <v>9</v>
      </c>
      <c r="D16" s="16">
        <v>-2</v>
      </c>
      <c r="E16" s="16">
        <v>76</v>
      </c>
      <c r="F16" s="16">
        <v>-14</v>
      </c>
      <c r="G16" s="16">
        <v>16</v>
      </c>
      <c r="H16" s="16">
        <v>15</v>
      </c>
      <c r="I16" s="16">
        <v>4067</v>
      </c>
      <c r="J16" s="16">
        <v>81</v>
      </c>
      <c r="K16" s="16">
        <v>-12</v>
      </c>
      <c r="L16" s="16">
        <v>-1886</v>
      </c>
      <c r="M16" s="16">
        <f>13144-2523</f>
        <v>10621</v>
      </c>
      <c r="N16" s="16">
        <f>22502-2403</f>
        <v>20099</v>
      </c>
      <c r="O16" s="16">
        <f>19236-83</f>
        <v>19153</v>
      </c>
      <c r="P16" s="16">
        <f>22820-16</f>
        <v>22804</v>
      </c>
      <c r="Q16" s="16">
        <v>17147</v>
      </c>
      <c r="R16" s="16">
        <f>2411.45533-211.75524</f>
        <v>2199.7000899999998</v>
      </c>
      <c r="S16" s="16">
        <v>0</v>
      </c>
    </row>
    <row r="17" spans="1:19" x14ac:dyDescent="0.25">
      <c r="A17" s="15" t="s">
        <v>12</v>
      </c>
      <c r="B17" s="16">
        <v>8622</v>
      </c>
      <c r="C17" s="16">
        <v>1378</v>
      </c>
      <c r="D17" s="16">
        <v>2999</v>
      </c>
      <c r="E17" s="16">
        <v>-1496</v>
      </c>
      <c r="F17" s="16">
        <v>7159</v>
      </c>
      <c r="G17" s="16">
        <v>3369</v>
      </c>
      <c r="H17" s="16">
        <v>21168</v>
      </c>
      <c r="I17" s="16">
        <v>27762</v>
      </c>
      <c r="J17" s="16">
        <v>48236</v>
      </c>
      <c r="K17" s="16">
        <v>26005</v>
      </c>
      <c r="L17" s="16">
        <f>40684-6611</f>
        <v>34073</v>
      </c>
      <c r="M17" s="16">
        <f>85564-1404</f>
        <v>84160</v>
      </c>
      <c r="N17" s="16">
        <f>59277-10</f>
        <v>59267</v>
      </c>
      <c r="O17" s="16">
        <f>54565-4152</f>
        <v>50413</v>
      </c>
      <c r="P17" s="16">
        <f>45306-1571</f>
        <v>43735</v>
      </c>
      <c r="Q17" s="16">
        <v>25881</v>
      </c>
      <c r="R17" s="16">
        <f>15242.98456-440.7206</f>
        <v>14802.26396</v>
      </c>
      <c r="S17" s="16">
        <v>13174.085213445736</v>
      </c>
    </row>
    <row r="18" spans="1:19" x14ac:dyDescent="0.25">
      <c r="A18" s="15" t="s">
        <v>29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>
        <v>109615</v>
      </c>
      <c r="P18" s="16">
        <f>97320-18</f>
        <v>97302</v>
      </c>
      <c r="Q18" s="16">
        <f>61511-116</f>
        <v>61395</v>
      </c>
      <c r="R18" s="16">
        <f>92753.04549-72.57386</f>
        <v>92680.47163</v>
      </c>
      <c r="S18" s="16">
        <v>92727.46652674803</v>
      </c>
    </row>
    <row r="19" spans="1:19" x14ac:dyDescent="0.25">
      <c r="A19" s="15" t="s">
        <v>13</v>
      </c>
      <c r="B19" s="16">
        <v>3908</v>
      </c>
      <c r="C19" s="16">
        <v>4133</v>
      </c>
      <c r="D19" s="16">
        <v>3662</v>
      </c>
      <c r="E19" s="16">
        <v>174</v>
      </c>
      <c r="F19" s="16">
        <v>6246</v>
      </c>
      <c r="G19" s="16">
        <v>11415</v>
      </c>
      <c r="H19" s="16">
        <v>7069</v>
      </c>
      <c r="I19" s="16">
        <v>20118</v>
      </c>
      <c r="J19" s="16">
        <v>31995</v>
      </c>
      <c r="K19" s="16">
        <v>7250</v>
      </c>
      <c r="L19" s="16">
        <f>19266-0</f>
        <v>19266</v>
      </c>
      <c r="M19" s="16">
        <f>39992-128</f>
        <v>39864</v>
      </c>
      <c r="N19" s="16">
        <f>15108-0</f>
        <v>15108</v>
      </c>
      <c r="O19" s="16">
        <f>24796-92</f>
        <v>24704</v>
      </c>
      <c r="P19" s="16">
        <f>17476-5</f>
        <v>17471</v>
      </c>
      <c r="Q19" s="16">
        <f>4792-13</f>
        <v>4779</v>
      </c>
      <c r="R19" s="16">
        <f>6518.06789-7.48815</f>
        <v>6510.5797400000001</v>
      </c>
      <c r="S19" s="16">
        <v>6558.9010762597663</v>
      </c>
    </row>
    <row r="20" spans="1:19" x14ac:dyDescent="0.25">
      <c r="A20" s="15" t="s">
        <v>22</v>
      </c>
      <c r="B20" s="16">
        <v>205</v>
      </c>
      <c r="C20" s="16">
        <v>175</v>
      </c>
      <c r="D20" s="16">
        <v>70</v>
      </c>
      <c r="E20" s="16">
        <v>-124</v>
      </c>
      <c r="F20" s="16">
        <v>70</v>
      </c>
      <c r="G20" s="16">
        <v>580</v>
      </c>
      <c r="H20" s="16">
        <v>1185</v>
      </c>
      <c r="I20" s="16">
        <v>1109</v>
      </c>
      <c r="J20" s="16">
        <v>647</v>
      </c>
      <c r="K20" s="16">
        <v>548</v>
      </c>
      <c r="L20" s="16">
        <f>788-1</f>
        <v>787</v>
      </c>
      <c r="M20" s="16">
        <v>1295</v>
      </c>
      <c r="N20" s="16">
        <v>934</v>
      </c>
      <c r="O20" s="16">
        <v>145</v>
      </c>
      <c r="P20" s="16">
        <v>115</v>
      </c>
      <c r="Q20" s="16">
        <v>145</v>
      </c>
      <c r="R20" s="16">
        <f>86.24688-0</f>
        <v>86.246880000000004</v>
      </c>
      <c r="S20" s="16">
        <v>36.943369922981262</v>
      </c>
    </row>
    <row r="21" spans="1:19" x14ac:dyDescent="0.25">
      <c r="A21" s="15" t="s">
        <v>23</v>
      </c>
      <c r="B21" s="16">
        <v>1</v>
      </c>
      <c r="C21" s="16">
        <v>137</v>
      </c>
      <c r="D21" s="16">
        <v>333</v>
      </c>
      <c r="E21" s="16">
        <v>203</v>
      </c>
      <c r="F21" s="16">
        <v>549</v>
      </c>
      <c r="G21" s="16">
        <v>1629</v>
      </c>
      <c r="H21" s="16">
        <v>4026</v>
      </c>
      <c r="I21" s="16">
        <v>4334</v>
      </c>
      <c r="J21" s="16">
        <v>8396</v>
      </c>
      <c r="K21" s="16">
        <v>6744</v>
      </c>
      <c r="L21" s="16">
        <v>7075</v>
      </c>
      <c r="M21" s="16">
        <f>7156-1</f>
        <v>7155</v>
      </c>
      <c r="N21" s="16">
        <v>6442</v>
      </c>
      <c r="O21" s="16">
        <f>5188-1</f>
        <v>5187</v>
      </c>
      <c r="P21" s="16">
        <f>3921-4</f>
        <v>3917</v>
      </c>
      <c r="Q21" s="16">
        <f>4731-1</f>
        <v>4730</v>
      </c>
      <c r="R21" s="16">
        <f>2840.56947-0.50661</f>
        <v>2840.06286</v>
      </c>
      <c r="S21" s="16">
        <v>2115.0687752876279</v>
      </c>
    </row>
    <row r="22" spans="1:19" x14ac:dyDescent="0.25">
      <c r="A22" s="15" t="s">
        <v>14</v>
      </c>
      <c r="B22" s="16">
        <v>541</v>
      </c>
      <c r="C22" s="16">
        <v>-3980</v>
      </c>
      <c r="D22" s="16">
        <v>-5132</v>
      </c>
      <c r="E22" s="16">
        <v>-722</v>
      </c>
      <c r="F22" s="16">
        <v>-539</v>
      </c>
      <c r="G22" s="16">
        <v>127</v>
      </c>
      <c r="H22" s="16">
        <v>228</v>
      </c>
      <c r="I22" s="16">
        <v>548</v>
      </c>
      <c r="J22" s="16">
        <v>436</v>
      </c>
      <c r="K22" s="16">
        <v>568</v>
      </c>
      <c r="L22" s="16">
        <f>1538-960</f>
        <v>578</v>
      </c>
      <c r="M22" s="16">
        <f>1588-805</f>
        <v>783</v>
      </c>
      <c r="N22" s="16">
        <f>1232-640</f>
        <v>592</v>
      </c>
      <c r="O22" s="16">
        <v>1013</v>
      </c>
      <c r="P22" s="16">
        <v>658</v>
      </c>
      <c r="Q22" s="16">
        <v>530</v>
      </c>
      <c r="R22" s="16">
        <f>623.4708-1.9606</f>
        <v>621.51020000000005</v>
      </c>
      <c r="S22" s="16">
        <v>695.08540343261723</v>
      </c>
    </row>
    <row r="23" spans="1:19" x14ac:dyDescent="0.25">
      <c r="A23" s="15" t="s">
        <v>15</v>
      </c>
      <c r="B23" s="16">
        <v>-1259</v>
      </c>
      <c r="C23" s="16">
        <v>-866</v>
      </c>
      <c r="D23" s="16">
        <v>-278</v>
      </c>
      <c r="E23" s="16">
        <v>-392</v>
      </c>
      <c r="F23" s="16">
        <v>-894</v>
      </c>
      <c r="G23" s="16">
        <v>-649</v>
      </c>
      <c r="H23" s="16">
        <v>13351</v>
      </c>
      <c r="I23" s="16">
        <v>32957</v>
      </c>
      <c r="J23" s="16">
        <v>80673</v>
      </c>
      <c r="K23" s="16">
        <v>40958</v>
      </c>
      <c r="L23" s="16">
        <f>44902-397</f>
        <v>44505</v>
      </c>
      <c r="M23" s="16">
        <f>81802-190</f>
        <v>81612</v>
      </c>
      <c r="N23" s="16">
        <f>65459-2</f>
        <v>65457</v>
      </c>
      <c r="O23" s="16">
        <f>76679-154</f>
        <v>76525</v>
      </c>
      <c r="P23" s="16">
        <f>58018-1</f>
        <v>58017</v>
      </c>
      <c r="Q23" s="16">
        <f>52164-1</f>
        <v>52163</v>
      </c>
      <c r="R23" s="16">
        <f>19647.8481-1.2247</f>
        <v>19646.6234</v>
      </c>
      <c r="S23" s="16">
        <v>26057.620750318525</v>
      </c>
    </row>
    <row r="24" spans="1:19" x14ac:dyDescent="0.25">
      <c r="A24" s="15" t="s">
        <v>16</v>
      </c>
      <c r="B24" s="16">
        <v>-4993</v>
      </c>
      <c r="C24" s="16">
        <v>-5901</v>
      </c>
      <c r="D24" s="16">
        <v>-3576</v>
      </c>
      <c r="E24" s="16">
        <v>-5216</v>
      </c>
      <c r="F24" s="16">
        <v>-8033</v>
      </c>
      <c r="G24" s="16">
        <v>-8222</v>
      </c>
      <c r="H24" s="16">
        <v>-10606</v>
      </c>
      <c r="I24" s="16">
        <v>-14014</v>
      </c>
      <c r="J24" s="16">
        <v>-15147</v>
      </c>
      <c r="K24" s="16">
        <v>-7324</v>
      </c>
      <c r="L24" s="16">
        <f>176-9826</f>
        <v>-9650</v>
      </c>
      <c r="M24" s="16">
        <f>133-16065</f>
        <v>-15932</v>
      </c>
      <c r="N24" s="16">
        <f>206-10841</f>
        <v>-10635</v>
      </c>
      <c r="O24" s="16">
        <f>184-15153</f>
        <v>-14969</v>
      </c>
      <c r="P24" s="16">
        <f>261-8807</f>
        <v>-8546</v>
      </c>
      <c r="Q24" s="16">
        <f>595-6511</f>
        <v>-5916</v>
      </c>
      <c r="R24" s="16">
        <f>75.06864-6459.42096</f>
        <v>-6384.35232</v>
      </c>
      <c r="S24" s="16">
        <v>-6459.5098214160153</v>
      </c>
    </row>
    <row r="25" spans="1:19" x14ac:dyDescent="0.25">
      <c r="A25" s="15" t="s">
        <v>17</v>
      </c>
      <c r="B25" s="16">
        <v>582</v>
      </c>
      <c r="C25" s="16">
        <v>1945</v>
      </c>
      <c r="D25" s="16">
        <v>3202</v>
      </c>
      <c r="E25" s="16">
        <v>4277</v>
      </c>
      <c r="F25" s="16">
        <v>8759</v>
      </c>
      <c r="G25" s="16">
        <v>27963</v>
      </c>
      <c r="H25" s="16">
        <v>37124</v>
      </c>
      <c r="I25" s="16">
        <v>80240</v>
      </c>
      <c r="J25" s="16">
        <v>84756</v>
      </c>
      <c r="K25" s="16">
        <v>55181</v>
      </c>
      <c r="L25" s="16">
        <f>75116-2209</f>
        <v>72907</v>
      </c>
      <c r="M25" s="16">
        <f>126111-2515</f>
        <v>123596</v>
      </c>
      <c r="N25" s="16">
        <f>133610-3164</f>
        <v>130446</v>
      </c>
      <c r="O25" s="16">
        <f>152767-3140</f>
        <v>149627</v>
      </c>
      <c r="P25" s="16">
        <f>142194-6831</f>
        <v>135363</v>
      </c>
      <c r="Q25" s="16">
        <f>89852-1003</f>
        <v>88849</v>
      </c>
      <c r="R25" s="16">
        <f>67094.34113-1029.81038</f>
        <v>66064.530750000005</v>
      </c>
      <c r="S25" s="16">
        <v>68784.594133281251</v>
      </c>
    </row>
    <row r="26" spans="1:19" x14ac:dyDescent="0.25">
      <c r="A26" s="15" t="s">
        <v>18</v>
      </c>
      <c r="B26" s="16">
        <v>4687</v>
      </c>
      <c r="C26" s="16">
        <v>6498</v>
      </c>
      <c r="D26" s="16">
        <v>3948</v>
      </c>
      <c r="E26" s="16">
        <v>8370</v>
      </c>
      <c r="F26" s="16">
        <v>11813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</row>
    <row r="27" spans="1:19" x14ac:dyDescent="0.25">
      <c r="A27" s="15" t="s">
        <v>19</v>
      </c>
      <c r="B27" s="16">
        <v>286</v>
      </c>
      <c r="C27" s="16">
        <v>1630</v>
      </c>
      <c r="D27" s="16">
        <v>1094</v>
      </c>
      <c r="E27" s="16">
        <v>462</v>
      </c>
      <c r="F27" s="16">
        <v>741</v>
      </c>
      <c r="G27" s="16">
        <v>0</v>
      </c>
      <c r="H27" s="16">
        <v>120</v>
      </c>
      <c r="I27" s="16">
        <v>1185</v>
      </c>
      <c r="J27" s="16">
        <v>-146</v>
      </c>
      <c r="K27" s="16">
        <v>-142</v>
      </c>
      <c r="L27" s="16">
        <f>1804-2246</f>
        <v>-442</v>
      </c>
      <c r="M27" s="16">
        <f>1859-2102</f>
        <v>-243</v>
      </c>
      <c r="N27" s="16">
        <f>2725-3184</f>
        <v>-459</v>
      </c>
      <c r="O27" s="16">
        <f>2482-4444</f>
        <v>-1962</v>
      </c>
      <c r="P27" s="16">
        <f>1798-3968</f>
        <v>-2170</v>
      </c>
      <c r="Q27" s="16">
        <f>974-2176</f>
        <v>-1202</v>
      </c>
      <c r="R27" s="16">
        <f>855.496-4185.17837</f>
        <v>-3329.6823699999995</v>
      </c>
      <c r="S27" s="16">
        <v>-8872.053080231477</v>
      </c>
    </row>
    <row r="28" spans="1:19" x14ac:dyDescent="0.25">
      <c r="A28" s="15" t="s">
        <v>20</v>
      </c>
      <c r="B28" s="16">
        <v>-2973</v>
      </c>
      <c r="C28" s="16">
        <v>-5078</v>
      </c>
      <c r="D28" s="16">
        <v>-236</v>
      </c>
      <c r="E28" s="16">
        <v>1099</v>
      </c>
      <c r="F28" s="16">
        <v>166</v>
      </c>
      <c r="G28" s="16">
        <v>850</v>
      </c>
      <c r="H28" s="16">
        <v>2459</v>
      </c>
      <c r="I28" s="16">
        <v>4620</v>
      </c>
      <c r="J28" s="16">
        <v>8456</v>
      </c>
      <c r="K28" s="16">
        <v>3881</v>
      </c>
      <c r="L28" s="16">
        <f>26536-552</f>
        <v>25984</v>
      </c>
      <c r="M28" s="16">
        <f>21838-1002</f>
        <v>20836</v>
      </c>
      <c r="N28" s="16">
        <f>10935-480</f>
        <v>10455</v>
      </c>
      <c r="O28" s="16">
        <f>7717-137</f>
        <v>7580</v>
      </c>
      <c r="P28" s="16">
        <f>12285-163</f>
        <v>12122</v>
      </c>
      <c r="Q28" s="16">
        <f>7847-59</f>
        <v>7788</v>
      </c>
      <c r="R28" s="16">
        <f>4371.32175-81.24856</f>
        <v>4290.0731900000001</v>
      </c>
      <c r="S28" s="16">
        <v>6612.9024595843503</v>
      </c>
    </row>
    <row r="29" spans="1:19" x14ac:dyDescent="0.25">
      <c r="A29" s="15" t="s">
        <v>21</v>
      </c>
      <c r="B29" s="16">
        <v>1214</v>
      </c>
      <c r="C29" s="16">
        <v>769</v>
      </c>
      <c r="D29" s="16">
        <v>1196</v>
      </c>
      <c r="E29" s="16">
        <v>1406</v>
      </c>
      <c r="F29" s="16">
        <v>4453</v>
      </c>
      <c r="G29" s="16">
        <v>6621</v>
      </c>
      <c r="H29" s="16">
        <v>3157</v>
      </c>
      <c r="I29" s="16">
        <v>9806</v>
      </c>
      <c r="J29" s="16">
        <v>7689</v>
      </c>
      <c r="K29" s="16">
        <v>36621</v>
      </c>
      <c r="L29" s="16">
        <f>42572-439</f>
        <v>42133</v>
      </c>
      <c r="M29" s="16">
        <f>60388-608</f>
        <v>59780</v>
      </c>
      <c r="N29" s="16">
        <f>76531-409</f>
        <v>76122</v>
      </c>
      <c r="O29" s="16">
        <f>82980-866</f>
        <v>82114</v>
      </c>
      <c r="P29" s="16">
        <f>96945-414</f>
        <v>96531</v>
      </c>
      <c r="Q29" s="16">
        <f>110201-517</f>
        <v>109684</v>
      </c>
      <c r="R29" s="16">
        <f>118775.5-1036.30286</f>
        <v>117739.19714</v>
      </c>
      <c r="S29" s="16">
        <v>77076.708090078144</v>
      </c>
    </row>
    <row r="31" spans="1:19" x14ac:dyDescent="0.25">
      <c r="A31" s="9" t="s">
        <v>24</v>
      </c>
      <c r="C31" s="10"/>
      <c r="F31" s="3"/>
      <c r="G31" s="3"/>
      <c r="H31" s="3"/>
      <c r="I31" s="3"/>
      <c r="J31" s="3"/>
      <c r="K31" s="3"/>
    </row>
    <row r="32" spans="1:19" x14ac:dyDescent="0.25">
      <c r="A32" s="9" t="s">
        <v>25</v>
      </c>
      <c r="C32" s="10"/>
      <c r="F32" s="3"/>
      <c r="G32" s="3"/>
      <c r="H32" s="3"/>
      <c r="I32" s="3"/>
      <c r="J32" s="3"/>
      <c r="K32" s="3"/>
    </row>
    <row r="33" spans="1:11" x14ac:dyDescent="0.25">
      <c r="A33" s="9" t="s">
        <v>26</v>
      </c>
      <c r="C33" s="10"/>
      <c r="F33" s="3"/>
      <c r="G33" s="3"/>
      <c r="H33" s="3"/>
      <c r="I33" s="3"/>
      <c r="J33" s="3"/>
      <c r="K33" s="3"/>
    </row>
    <row r="34" spans="1:11" x14ac:dyDescent="0.25">
      <c r="A34" s="9" t="s">
        <v>27</v>
      </c>
      <c r="C34" s="10"/>
      <c r="F34" s="2"/>
      <c r="G34" s="2"/>
      <c r="H34" s="2"/>
      <c r="I34" s="2"/>
      <c r="J34" s="3"/>
      <c r="K34" s="3"/>
    </row>
    <row r="35" spans="1:11" x14ac:dyDescent="0.25">
      <c r="A35" s="5" t="s">
        <v>30</v>
      </c>
      <c r="C35" s="8"/>
      <c r="D35" s="6"/>
    </row>
    <row r="36" spans="1:11" x14ac:dyDescent="0.25">
      <c r="A36" s="7" t="s">
        <v>32</v>
      </c>
      <c r="C36" s="8"/>
      <c r="D36" s="6"/>
    </row>
    <row r="37" spans="1:11" x14ac:dyDescent="0.25">
      <c r="A37" s="12" t="s">
        <v>31</v>
      </c>
      <c r="C37" s="12"/>
      <c r="D37" s="6"/>
    </row>
    <row r="38" spans="1:11" x14ac:dyDescent="0.25">
      <c r="A38" s="8"/>
      <c r="B38" s="8"/>
      <c r="C38" s="8"/>
      <c r="D38" s="6"/>
    </row>
    <row r="39" spans="1:11" x14ac:dyDescent="0.25">
      <c r="A39" s="8"/>
      <c r="B39" s="8"/>
      <c r="C39" s="8"/>
      <c r="D39" s="6"/>
    </row>
    <row r="40" spans="1:11" x14ac:dyDescent="0.25">
      <c r="A40" s="11"/>
      <c r="B40" s="10"/>
      <c r="C40" s="10"/>
    </row>
    <row r="41" spans="1:11" x14ac:dyDescent="0.25">
      <c r="A41" s="11"/>
      <c r="B41" s="10"/>
      <c r="C41" s="10"/>
    </row>
  </sheetData>
  <mergeCells count="1">
    <mergeCell ref="A2:G2"/>
  </mergeCells>
  <hyperlinks>
    <hyperlink ref="A37" r:id="rId1" display="mailto:estadisticaslecheria@magyp.gob.ar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MAGyP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Scuderi</dc:creator>
  <cp:lastModifiedBy>Joaquin Perez Martin</cp:lastModifiedBy>
  <dcterms:created xsi:type="dcterms:W3CDTF">2016-03-11T12:44:41Z</dcterms:created>
  <dcterms:modified xsi:type="dcterms:W3CDTF">2018-06-11T20:20:30Z</dcterms:modified>
</cp:coreProperties>
</file>