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UBLICACIÓN WEB\6-MERCADO EXTERNO\BALANZA COMERCIAL\"/>
    </mc:Choice>
  </mc:AlternateContent>
  <bookViews>
    <workbookView xWindow="240" yWindow="135" windowWidth="15600" windowHeight="7935"/>
  </bookViews>
  <sheets>
    <sheet name="ME012" sheetId="1" r:id="rId1"/>
  </sheets>
  <calcPr calcId="152511"/>
</workbook>
</file>

<file path=xl/calcChain.xml><?xml version="1.0" encoding="utf-8"?>
<calcChain xmlns="http://schemas.openxmlformats.org/spreadsheetml/2006/main">
  <c r="R29" i="1" l="1"/>
  <c r="R28" i="1"/>
  <c r="R27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Q29" i="1" l="1"/>
  <c r="P29" i="1"/>
  <c r="O29" i="1"/>
  <c r="N29" i="1"/>
  <c r="M29" i="1"/>
  <c r="L29" i="1"/>
  <c r="Q28" i="1"/>
  <c r="P28" i="1"/>
  <c r="O28" i="1"/>
  <c r="N28" i="1"/>
  <c r="M28" i="1"/>
  <c r="L28" i="1"/>
  <c r="Q27" i="1"/>
  <c r="P27" i="1"/>
  <c r="O27" i="1"/>
  <c r="N27" i="1"/>
  <c r="M27" i="1"/>
  <c r="L27" i="1"/>
  <c r="Q25" i="1"/>
  <c r="P25" i="1"/>
  <c r="O25" i="1"/>
  <c r="N25" i="1"/>
  <c r="M25" i="1"/>
  <c r="L25" i="1"/>
  <c r="Q24" i="1"/>
  <c r="P24" i="1"/>
  <c r="O24" i="1"/>
  <c r="N24" i="1"/>
  <c r="M24" i="1"/>
  <c r="L24" i="1"/>
  <c r="O23" i="1"/>
  <c r="M23" i="1"/>
  <c r="L23" i="1"/>
  <c r="N22" i="1"/>
  <c r="M22" i="1"/>
  <c r="L22" i="1"/>
  <c r="Q19" i="1"/>
  <c r="P19" i="1"/>
  <c r="O19" i="1"/>
  <c r="N19" i="1"/>
  <c r="M19" i="1"/>
  <c r="L19" i="1"/>
  <c r="P18" i="1"/>
  <c r="O18" i="1"/>
  <c r="N18" i="1"/>
  <c r="M18" i="1"/>
  <c r="L18" i="1"/>
  <c r="Q17" i="1"/>
  <c r="P17" i="1"/>
  <c r="O17" i="1"/>
  <c r="P16" i="1"/>
  <c r="O16" i="1"/>
  <c r="N16" i="1"/>
  <c r="M16" i="1"/>
  <c r="L16" i="1"/>
  <c r="Q15" i="1"/>
  <c r="P15" i="1"/>
  <c r="Q14" i="1"/>
  <c r="P14" i="1"/>
  <c r="O14" i="1"/>
  <c r="N14" i="1"/>
  <c r="M14" i="1"/>
  <c r="L14" i="1"/>
  <c r="Q13" i="1"/>
  <c r="P13" i="1"/>
  <c r="O13" i="1"/>
  <c r="N13" i="1"/>
  <c r="M13" i="1"/>
  <c r="L13" i="1"/>
  <c r="Q12" i="1"/>
  <c r="P12" i="1"/>
  <c r="O12" i="1"/>
  <c r="N12" i="1"/>
  <c r="M12" i="1"/>
  <c r="L12" i="1"/>
  <c r="Q11" i="1"/>
  <c r="P11" i="1"/>
  <c r="O11" i="1"/>
  <c r="N11" i="1"/>
  <c r="M11" i="1"/>
  <c r="L11" i="1"/>
  <c r="Q10" i="1"/>
  <c r="P10" i="1"/>
  <c r="O10" i="1"/>
  <c r="N10" i="1"/>
  <c r="M10" i="1"/>
  <c r="L10" i="1"/>
  <c r="Q8" i="1"/>
  <c r="P8" i="1"/>
  <c r="O8" i="1"/>
  <c r="N8" i="1"/>
  <c r="M8" i="1"/>
  <c r="L8" i="1"/>
  <c r="Q7" i="1"/>
  <c r="P7" i="1"/>
  <c r="O7" i="1"/>
  <c r="N7" i="1"/>
  <c r="M7" i="1"/>
  <c r="L7" i="1"/>
  <c r="Q6" i="1"/>
  <c r="P6" i="1"/>
  <c r="O6" i="1"/>
  <c r="N6" i="1"/>
  <c r="M6" i="1"/>
  <c r="L6" i="1"/>
  <c r="Q5" i="1"/>
  <c r="P5" i="1"/>
  <c r="O5" i="1"/>
  <c r="N5" i="1"/>
  <c r="M5" i="1"/>
  <c r="L5" i="1"/>
</calcChain>
</file>

<file path=xl/sharedStrings.xml><?xml version="1.0" encoding="utf-8"?>
<sst xmlns="http://schemas.openxmlformats.org/spreadsheetml/2006/main" count="34" uniqueCount="34">
  <si>
    <t>Leche Fuida (1)</t>
  </si>
  <si>
    <t>Leche en Polvo Entera</t>
  </si>
  <si>
    <t>Leche en Polvo Descremada</t>
  </si>
  <si>
    <t>Leche Maternizada (2)</t>
  </si>
  <si>
    <t>Leche Condensada</t>
  </si>
  <si>
    <t>Dulce de Leche</t>
  </si>
  <si>
    <t>Queso Pasta Blanda</t>
  </si>
  <si>
    <t>Queso Pasta Semidura</t>
  </si>
  <si>
    <t>Queso Pasta Dura</t>
  </si>
  <si>
    <t>Queso Rallado</t>
  </si>
  <si>
    <t>Queso Fundido</t>
  </si>
  <si>
    <t>Otros quesos</t>
  </si>
  <si>
    <t>Manteca</t>
  </si>
  <si>
    <t>Aceite butírico</t>
  </si>
  <si>
    <t>Otros fermentados (3)</t>
  </si>
  <si>
    <t>Caseina</t>
  </si>
  <si>
    <t>Caseinatos</t>
  </si>
  <si>
    <t>Suero</t>
  </si>
  <si>
    <t>Derivados suero</t>
  </si>
  <si>
    <t>Lactosa</t>
  </si>
  <si>
    <t>Helados</t>
  </si>
  <si>
    <t>Otros</t>
  </si>
  <si>
    <t>Crema</t>
  </si>
  <si>
    <t>(1) = expresada en equivalente leche en polvo</t>
  </si>
  <si>
    <t>(2) = leche en polvo modificada</t>
  </si>
  <si>
    <t>(3) = otros productos fermentados que no son yogurt</t>
  </si>
  <si>
    <t>Otros = leche concentrada y otros</t>
  </si>
  <si>
    <t>PRODUCTO</t>
  </si>
  <si>
    <t>Mozzarella</t>
  </si>
  <si>
    <t>Fuente: INDEC - Aduana - SeNaSa</t>
  </si>
  <si>
    <t>estadisticaslecheria@magyp.gob.ar</t>
  </si>
  <si>
    <t>Elaborados por la Subsecretaría de Lechería - Ministerio de Agroindustria</t>
  </si>
  <si>
    <t>Yogur</t>
  </si>
  <si>
    <t>Balanza comercial por producto (toneladas por año 2000-2017)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</si>
</sst>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0"/>
      <color theme="1"/>
      <name val="Trebuchet MS"/>
      <family val="2"/>
    </font>
    <font>
      <sz val="8"/>
      <color theme="1"/>
      <name val="Trebuchet MS"/>
      <family val="2"/>
    </font>
    <font>
      <sz val="8"/>
      <color rgb="FF000000"/>
      <name val="Trebuchet MS"/>
      <family val="2"/>
    </font>
    <font>
      <u/>
      <sz val="12"/>
      <color theme="10"/>
      <name val="Trebuchet MS"/>
      <family val="2"/>
    </font>
    <font>
      <u/>
      <sz val="8"/>
      <color theme="10"/>
      <name val="Trebuchet MS"/>
      <family val="2"/>
    </font>
    <font>
      <b/>
      <sz val="10"/>
      <color theme="3" tint="-0.249977111117893"/>
      <name val="Trebuchet MS"/>
      <family val="2"/>
    </font>
    <font>
      <b/>
      <sz val="8"/>
      <color theme="0"/>
      <name val="Trebuchet MS"/>
      <family val="2"/>
    </font>
    <font>
      <sz val="8"/>
      <color theme="0"/>
      <name val="Trebuchet MS"/>
      <family val="2"/>
    </font>
    <font>
      <sz val="8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4" fillId="6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4" fillId="6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7" fillId="3" borderId="0" xfId="1" applyFont="1" applyFill="1" applyAlignment="1">
      <alignment vertical="center" wrapText="1"/>
    </xf>
    <xf numFmtId="0" fontId="7" fillId="3" borderId="0" xfId="1" applyFont="1" applyFill="1" applyAlignment="1">
      <alignment vertical="center"/>
    </xf>
    <xf numFmtId="0" fontId="9" fillId="5" borderId="1" xfId="0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38" fontId="4" fillId="4" borderId="1" xfId="0" applyNumberFormat="1" applyFont="1" applyFill="1" applyBorder="1" applyAlignment="1">
      <alignment horizontal="center" vertical="center"/>
    </xf>
    <xf numFmtId="38" fontId="11" fillId="4" borderId="1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4F81BD"/>
      <color rgb="FF9BC2E6"/>
      <color rgb="FFDDEBF7"/>
      <color rgb="FFDD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adisticaslecheria@magyp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9"/>
  <sheetViews>
    <sheetView tabSelected="1" workbookViewId="0">
      <pane xSplit="1" topLeftCell="B1" activePane="topRight" state="frozen"/>
      <selection pane="topRight" activeCell="A4" sqref="A4"/>
    </sheetView>
  </sheetViews>
  <sheetFormatPr baseColWidth="10" defaultColWidth="26.42578125" defaultRowHeight="16.5" x14ac:dyDescent="0.25"/>
  <cols>
    <col min="1" max="1" width="26.7109375" style="4" customWidth="1"/>
    <col min="2" max="11" width="13.5703125" style="1" customWidth="1"/>
    <col min="12" max="12" width="13.42578125" style="1" customWidth="1"/>
    <col min="13" max="16" width="13.5703125" style="1" customWidth="1"/>
    <col min="17" max="18" width="13.7109375" style="1" customWidth="1"/>
    <col min="19" max="19" width="12" style="1" customWidth="1"/>
    <col min="20" max="20" width="13.5703125" style="1" customWidth="1"/>
    <col min="21" max="21" width="14.85546875" style="1" customWidth="1"/>
    <col min="22" max="16384" width="26.42578125" style="1"/>
  </cols>
  <sheetData>
    <row r="2" spans="1:19" ht="16.5" customHeight="1" x14ac:dyDescent="0.25">
      <c r="A2" s="18" t="s">
        <v>33</v>
      </c>
      <c r="B2" s="18"/>
      <c r="C2" s="18"/>
      <c r="D2" s="18"/>
      <c r="E2" s="18"/>
      <c r="F2" s="18"/>
    </row>
    <row r="4" spans="1:19" x14ac:dyDescent="0.25">
      <c r="A4" s="13" t="s">
        <v>27</v>
      </c>
      <c r="B4" s="14">
        <v>2000</v>
      </c>
      <c r="C4" s="14">
        <v>2001</v>
      </c>
      <c r="D4" s="14">
        <v>2002</v>
      </c>
      <c r="E4" s="14">
        <v>2003</v>
      </c>
      <c r="F4" s="14">
        <v>2004</v>
      </c>
      <c r="G4" s="14">
        <v>2005</v>
      </c>
      <c r="H4" s="14">
        <v>2006</v>
      </c>
      <c r="I4" s="14">
        <v>2007</v>
      </c>
      <c r="J4" s="14">
        <v>2008</v>
      </c>
      <c r="K4" s="14">
        <v>2009</v>
      </c>
      <c r="L4" s="14">
        <v>2010</v>
      </c>
      <c r="M4" s="14">
        <v>2011</v>
      </c>
      <c r="N4" s="14">
        <v>2012</v>
      </c>
      <c r="O4" s="14">
        <v>2013</v>
      </c>
      <c r="P4" s="14">
        <v>2014</v>
      </c>
      <c r="Q4" s="14">
        <v>2015</v>
      </c>
      <c r="R4" s="14">
        <v>2016</v>
      </c>
      <c r="S4" s="14">
        <v>2017</v>
      </c>
    </row>
    <row r="5" spans="1:19" x14ac:dyDescent="0.25">
      <c r="A5" s="15" t="s">
        <v>0</v>
      </c>
      <c r="B5" s="16">
        <v>2190</v>
      </c>
      <c r="C5" s="16">
        <v>-166</v>
      </c>
      <c r="D5" s="16">
        <v>1006</v>
      </c>
      <c r="E5" s="16">
        <v>-3178</v>
      </c>
      <c r="F5" s="16">
        <v>-3178</v>
      </c>
      <c r="G5" s="16">
        <v>938</v>
      </c>
      <c r="H5" s="16">
        <v>1615</v>
      </c>
      <c r="I5" s="16">
        <v>923</v>
      </c>
      <c r="J5" s="16">
        <v>2234</v>
      </c>
      <c r="K5" s="16">
        <v>2154</v>
      </c>
      <c r="L5" s="16">
        <f>1727-0</f>
        <v>1727</v>
      </c>
      <c r="M5" s="16">
        <f>1376-1</f>
        <v>1375</v>
      </c>
      <c r="N5" s="16">
        <f>497-0</f>
        <v>497</v>
      </c>
      <c r="O5" s="16">
        <f>423-0</f>
        <v>423</v>
      </c>
      <c r="P5" s="16">
        <f>373-0</f>
        <v>373</v>
      </c>
      <c r="Q5" s="16">
        <f>239-0</f>
        <v>239</v>
      </c>
      <c r="R5" s="17">
        <f>120.995528-0</f>
        <v>120.99552799999999</v>
      </c>
      <c r="S5" s="17">
        <v>153.4274342871189</v>
      </c>
    </row>
    <row r="6" spans="1:19" x14ac:dyDescent="0.25">
      <c r="A6" s="15" t="s">
        <v>1</v>
      </c>
      <c r="B6" s="16">
        <v>96497</v>
      </c>
      <c r="C6" s="16">
        <v>82428</v>
      </c>
      <c r="D6" s="16">
        <v>135369</v>
      </c>
      <c r="E6" s="16">
        <v>98938</v>
      </c>
      <c r="F6" s="16">
        <v>176127</v>
      </c>
      <c r="G6" s="16">
        <v>156309</v>
      </c>
      <c r="H6" s="16">
        <v>209088</v>
      </c>
      <c r="I6" s="16">
        <v>99789</v>
      </c>
      <c r="J6" s="16">
        <v>101385</v>
      </c>
      <c r="K6" s="16">
        <v>143569</v>
      </c>
      <c r="L6" s="16">
        <f>127541-458</f>
        <v>127083</v>
      </c>
      <c r="M6" s="16">
        <f>201940-0</f>
        <v>201940</v>
      </c>
      <c r="N6" s="16">
        <f>204672-2473</f>
        <v>202199</v>
      </c>
      <c r="O6" s="16">
        <f>189003-288</f>
        <v>188715</v>
      </c>
      <c r="P6" s="16">
        <f>142475-8</f>
        <v>142467</v>
      </c>
      <c r="Q6" s="16">
        <f>138280-244</f>
        <v>138036</v>
      </c>
      <c r="R6" s="17">
        <f>109455.991-0</f>
        <v>109455.99099999999</v>
      </c>
      <c r="S6" s="17">
        <v>70437.625800708003</v>
      </c>
    </row>
    <row r="7" spans="1:19" x14ac:dyDescent="0.25">
      <c r="A7" s="15" t="s">
        <v>2</v>
      </c>
      <c r="B7" s="16">
        <v>21819</v>
      </c>
      <c r="C7" s="16">
        <v>18923</v>
      </c>
      <c r="D7" s="16">
        <v>21502</v>
      </c>
      <c r="E7" s="16">
        <v>12522</v>
      </c>
      <c r="F7" s="16">
        <v>17437</v>
      </c>
      <c r="G7" s="16">
        <v>16663</v>
      </c>
      <c r="H7" s="16">
        <v>24028</v>
      </c>
      <c r="I7" s="16">
        <v>11605</v>
      </c>
      <c r="J7" s="16">
        <v>14996</v>
      </c>
      <c r="K7" s="16">
        <v>13300</v>
      </c>
      <c r="L7" s="16">
        <f>20279-625</f>
        <v>19654</v>
      </c>
      <c r="M7" s="16">
        <f>18634-847</f>
        <v>17787</v>
      </c>
      <c r="N7" s="16">
        <f>14153-1024</f>
        <v>13129</v>
      </c>
      <c r="O7" s="16">
        <f>25379-780</f>
        <v>24599</v>
      </c>
      <c r="P7" s="16">
        <f>21600-685</f>
        <v>20915</v>
      </c>
      <c r="Q7" s="16">
        <f>24228-954</f>
        <v>23274</v>
      </c>
      <c r="R7" s="17">
        <f>25790.8872-138.625</f>
        <v>25652.262200000001</v>
      </c>
      <c r="S7" s="17">
        <v>20097.358600219726</v>
      </c>
    </row>
    <row r="8" spans="1:19" x14ac:dyDescent="0.25">
      <c r="A8" s="15" t="s">
        <v>3</v>
      </c>
      <c r="B8" s="16">
        <v>28</v>
      </c>
      <c r="C8" s="16">
        <v>1019</v>
      </c>
      <c r="D8" s="16">
        <v>3765</v>
      </c>
      <c r="E8" s="16">
        <v>4136</v>
      </c>
      <c r="F8" s="16">
        <v>2873</v>
      </c>
      <c r="G8" s="16">
        <v>4290</v>
      </c>
      <c r="H8" s="16">
        <v>2958</v>
      </c>
      <c r="I8" s="16">
        <v>12391</v>
      </c>
      <c r="J8" s="16">
        <v>34146</v>
      </c>
      <c r="K8" s="16">
        <v>9854</v>
      </c>
      <c r="L8" s="16">
        <f>17271-1321</f>
        <v>15950</v>
      </c>
      <c r="M8" s="16">
        <f>23629-1258</f>
        <v>22371</v>
      </c>
      <c r="N8" s="16">
        <f>27533-1537</f>
        <v>25996</v>
      </c>
      <c r="O8" s="16">
        <f>28656-1352</f>
        <v>27304</v>
      </c>
      <c r="P8" s="16">
        <f>31695-1711</f>
        <v>29984</v>
      </c>
      <c r="Q8" s="16">
        <f>11937-1481</f>
        <v>10456</v>
      </c>
      <c r="R8" s="17">
        <f>6238.2262-1145.35113</f>
        <v>5092.8750700000001</v>
      </c>
      <c r="S8" s="17">
        <v>5782.3155135595707</v>
      </c>
    </row>
    <row r="9" spans="1:19" x14ac:dyDescent="0.25">
      <c r="A9" s="15" t="s">
        <v>4</v>
      </c>
      <c r="B9" s="16">
        <v>253</v>
      </c>
      <c r="C9" s="16">
        <v>7</v>
      </c>
      <c r="D9" s="16">
        <v>79</v>
      </c>
      <c r="E9" s="16">
        <v>44</v>
      </c>
      <c r="F9" s="16">
        <v>-620</v>
      </c>
      <c r="G9" s="16">
        <v>-872</v>
      </c>
      <c r="H9" s="16">
        <v>-755</v>
      </c>
      <c r="I9" s="16">
        <v>-954</v>
      </c>
      <c r="J9" s="16">
        <v>-1031</v>
      </c>
      <c r="K9" s="16">
        <v>-1114</v>
      </c>
      <c r="L9" s="16"/>
      <c r="M9" s="16"/>
      <c r="N9" s="16"/>
      <c r="O9" s="16"/>
      <c r="P9" s="16"/>
      <c r="Q9" s="16"/>
      <c r="R9" s="17">
        <f>0-1592.82199</f>
        <v>-1592.8219899999999</v>
      </c>
      <c r="S9" s="17">
        <v>-1968.6715584378815</v>
      </c>
    </row>
    <row r="10" spans="1:19" x14ac:dyDescent="0.25">
      <c r="A10" s="15" t="s">
        <v>5</v>
      </c>
      <c r="B10" s="16">
        <v>1697</v>
      </c>
      <c r="C10" s="16">
        <v>1832</v>
      </c>
      <c r="D10" s="16">
        <v>2142</v>
      </c>
      <c r="E10" s="16">
        <v>2803</v>
      </c>
      <c r="F10" s="16">
        <v>4771</v>
      </c>
      <c r="G10" s="16">
        <v>5576</v>
      </c>
      <c r="H10" s="16">
        <v>6239</v>
      </c>
      <c r="I10" s="16">
        <v>6365</v>
      </c>
      <c r="J10" s="16">
        <v>6487</v>
      </c>
      <c r="K10" s="16">
        <v>6407</v>
      </c>
      <c r="L10" s="16">
        <f>7186-244</f>
        <v>6942</v>
      </c>
      <c r="M10" s="16">
        <f>5869-323</f>
        <v>5546</v>
      </c>
      <c r="N10" s="16">
        <f>4762-225</f>
        <v>4537</v>
      </c>
      <c r="O10" s="16">
        <f>4336-198</f>
        <v>4138</v>
      </c>
      <c r="P10" s="16">
        <f>4125-136</f>
        <v>3989</v>
      </c>
      <c r="Q10" s="16">
        <f>3590-71</f>
        <v>3519</v>
      </c>
      <c r="R10" s="17">
        <f>3723.73825-17.05444</f>
        <v>3706.68381</v>
      </c>
      <c r="S10" s="17">
        <v>3358.6403844342231</v>
      </c>
    </row>
    <row r="11" spans="1:19" x14ac:dyDescent="0.25">
      <c r="A11" s="15" t="s">
        <v>6</v>
      </c>
      <c r="B11" s="16">
        <v>5978</v>
      </c>
      <c r="C11" s="16">
        <v>901</v>
      </c>
      <c r="D11" s="16">
        <v>3430</v>
      </c>
      <c r="E11" s="16">
        <v>2541</v>
      </c>
      <c r="F11" s="16">
        <v>3908</v>
      </c>
      <c r="G11" s="16">
        <v>6718</v>
      </c>
      <c r="H11" s="16">
        <v>14321</v>
      </c>
      <c r="I11" s="16">
        <v>14466</v>
      </c>
      <c r="J11" s="16">
        <v>11225</v>
      </c>
      <c r="K11" s="16">
        <v>18206</v>
      </c>
      <c r="L11" s="16">
        <f>20310-66</f>
        <v>20244</v>
      </c>
      <c r="M11" s="16">
        <f>28576-122</f>
        <v>28454</v>
      </c>
      <c r="N11" s="16">
        <f>26964-127</f>
        <v>26837</v>
      </c>
      <c r="O11" s="16">
        <f>895-31</f>
        <v>864</v>
      </c>
      <c r="P11" s="16">
        <f>988-153</f>
        <v>835</v>
      </c>
      <c r="Q11" s="16">
        <f>1588-7</f>
        <v>1581</v>
      </c>
      <c r="R11" s="17">
        <f>1843.78832-234.2828</f>
        <v>1609.5055200000002</v>
      </c>
      <c r="S11" s="17">
        <v>1345.7857593878939</v>
      </c>
    </row>
    <row r="12" spans="1:19" x14ac:dyDescent="0.25">
      <c r="A12" s="15" t="s">
        <v>7</v>
      </c>
      <c r="B12" s="16">
        <v>4532</v>
      </c>
      <c r="C12" s="16">
        <v>4677</v>
      </c>
      <c r="D12" s="16">
        <v>13422</v>
      </c>
      <c r="E12" s="16">
        <v>10248</v>
      </c>
      <c r="F12" s="16">
        <v>19480</v>
      </c>
      <c r="G12" s="16">
        <v>24706</v>
      </c>
      <c r="H12" s="16">
        <v>27623</v>
      </c>
      <c r="I12" s="16">
        <v>21497</v>
      </c>
      <c r="J12" s="16">
        <v>11030</v>
      </c>
      <c r="K12" s="16">
        <v>17564</v>
      </c>
      <c r="L12" s="16">
        <f>17003-12</f>
        <v>16991</v>
      </c>
      <c r="M12" s="16">
        <f>22484-43</f>
        <v>22441</v>
      </c>
      <c r="N12" s="16">
        <f>18555-1</f>
        <v>18554</v>
      </c>
      <c r="O12" s="16">
        <f>20554-6</f>
        <v>20548</v>
      </c>
      <c r="P12" s="16">
        <f>25747-6</f>
        <v>25741</v>
      </c>
      <c r="Q12" s="16">
        <f>14415-32</f>
        <v>14383</v>
      </c>
      <c r="R12" s="17">
        <f>13863.03214-27.69214</f>
        <v>13835.34</v>
      </c>
      <c r="S12" s="17">
        <v>10522.496290640258</v>
      </c>
    </row>
    <row r="13" spans="1:19" x14ac:dyDescent="0.25">
      <c r="A13" s="15" t="s">
        <v>8</v>
      </c>
      <c r="B13" s="16">
        <v>7206</v>
      </c>
      <c r="C13" s="16">
        <v>6882</v>
      </c>
      <c r="D13" s="16">
        <v>8183</v>
      </c>
      <c r="E13" s="16">
        <v>9227</v>
      </c>
      <c r="F13" s="16">
        <v>9820</v>
      </c>
      <c r="G13" s="16">
        <v>18674</v>
      </c>
      <c r="H13" s="16">
        <v>14510</v>
      </c>
      <c r="I13" s="16">
        <v>7747</v>
      </c>
      <c r="J13" s="16">
        <v>12904</v>
      </c>
      <c r="K13" s="16">
        <v>10636</v>
      </c>
      <c r="L13" s="16">
        <f>6819-198</f>
        <v>6621</v>
      </c>
      <c r="M13" s="16">
        <f>8577-183</f>
        <v>8394</v>
      </c>
      <c r="N13" s="16">
        <f>8513-160</f>
        <v>8353</v>
      </c>
      <c r="O13" s="16">
        <f>5517-129</f>
        <v>5388</v>
      </c>
      <c r="P13" s="16">
        <f>7093-160</f>
        <v>6933</v>
      </c>
      <c r="Q13" s="16">
        <f>7852-146</f>
        <v>7706</v>
      </c>
      <c r="R13" s="17">
        <f>6627.32544-404.35804</f>
        <v>6222.9673999999995</v>
      </c>
      <c r="S13" s="17">
        <v>6894.4048372692869</v>
      </c>
    </row>
    <row r="14" spans="1:19" x14ac:dyDescent="0.25">
      <c r="A14" s="15" t="s">
        <v>9</v>
      </c>
      <c r="B14" s="16">
        <v>822</v>
      </c>
      <c r="C14" s="16">
        <v>758</v>
      </c>
      <c r="D14" s="16">
        <v>458</v>
      </c>
      <c r="E14" s="16">
        <v>317</v>
      </c>
      <c r="F14" s="16">
        <v>431</v>
      </c>
      <c r="G14" s="16">
        <v>592</v>
      </c>
      <c r="H14" s="16">
        <v>700</v>
      </c>
      <c r="I14" s="16">
        <v>492</v>
      </c>
      <c r="J14" s="16">
        <v>217</v>
      </c>
      <c r="K14" s="16">
        <v>433</v>
      </c>
      <c r="L14" s="16">
        <f>767-2725</f>
        <v>-1958</v>
      </c>
      <c r="M14" s="16">
        <f>909-2702</f>
        <v>-1793</v>
      </c>
      <c r="N14" s="16">
        <f>1105-3008</f>
        <v>-1903</v>
      </c>
      <c r="O14" s="16">
        <f>1109-2971</f>
        <v>-1862</v>
      </c>
      <c r="P14" s="16">
        <f>1033-2351</f>
        <v>-1318</v>
      </c>
      <c r="Q14" s="16">
        <f>847-882</f>
        <v>-35</v>
      </c>
      <c r="R14" s="17">
        <f>819.31149-125.47205</f>
        <v>693.83944000000008</v>
      </c>
      <c r="S14" s="17">
        <v>591.78899045562753</v>
      </c>
    </row>
    <row r="15" spans="1:19" x14ac:dyDescent="0.25">
      <c r="A15" s="15" t="s">
        <v>10</v>
      </c>
      <c r="B15" s="16">
        <v>-1863</v>
      </c>
      <c r="C15" s="16">
        <v>-1442</v>
      </c>
      <c r="D15" s="16">
        <v>-778</v>
      </c>
      <c r="E15" s="16">
        <v>-669</v>
      </c>
      <c r="F15" s="16">
        <v>-455</v>
      </c>
      <c r="G15" s="16">
        <v>-1078</v>
      </c>
      <c r="H15" s="16">
        <v>-1225</v>
      </c>
      <c r="I15" s="16">
        <v>-1661</v>
      </c>
      <c r="J15" s="16">
        <v>-2079</v>
      </c>
      <c r="K15" s="16">
        <v>-2043</v>
      </c>
      <c r="L15" s="16">
        <v>205</v>
      </c>
      <c r="M15" s="16">
        <v>200</v>
      </c>
      <c r="N15" s="16">
        <v>195</v>
      </c>
      <c r="O15" s="16">
        <v>255</v>
      </c>
      <c r="P15" s="16">
        <f>236-4</f>
        <v>232</v>
      </c>
      <c r="Q15" s="16">
        <f>180-25</f>
        <v>155</v>
      </c>
      <c r="R15" s="17">
        <f>215.91706-1937.43832</f>
        <v>-1721.52126</v>
      </c>
      <c r="S15" s="17">
        <v>-3301.5727166324623</v>
      </c>
    </row>
    <row r="16" spans="1:19" x14ac:dyDescent="0.25">
      <c r="A16" s="15" t="s">
        <v>11</v>
      </c>
      <c r="B16" s="16">
        <v>51</v>
      </c>
      <c r="C16" s="16">
        <v>7</v>
      </c>
      <c r="D16" s="16">
        <v>0</v>
      </c>
      <c r="E16" s="16">
        <v>25</v>
      </c>
      <c r="F16" s="16">
        <v>-5</v>
      </c>
      <c r="G16" s="16">
        <v>3</v>
      </c>
      <c r="H16" s="16">
        <v>8</v>
      </c>
      <c r="I16" s="16">
        <v>1325</v>
      </c>
      <c r="J16" s="16">
        <v>25</v>
      </c>
      <c r="K16" s="16">
        <v>-1</v>
      </c>
      <c r="L16" s="16">
        <f>0-574</f>
        <v>-574</v>
      </c>
      <c r="M16" s="16">
        <f>2767-1040</f>
        <v>1727</v>
      </c>
      <c r="N16" s="16">
        <f>5310-918</f>
        <v>4392</v>
      </c>
      <c r="O16" s="16">
        <f>4093-17</f>
        <v>4076</v>
      </c>
      <c r="P16" s="16">
        <f>4930-2</f>
        <v>4928</v>
      </c>
      <c r="Q16" s="16">
        <v>3927</v>
      </c>
      <c r="R16" s="17">
        <f>793.69135-31.4032</f>
        <v>762.28815000000009</v>
      </c>
      <c r="S16" s="17">
        <v>0</v>
      </c>
    </row>
    <row r="17" spans="1:19" x14ac:dyDescent="0.25">
      <c r="A17" s="15" t="s">
        <v>28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>
        <f>25084</f>
        <v>25084</v>
      </c>
      <c r="P17" s="16">
        <f>21311-4</f>
        <v>21307</v>
      </c>
      <c r="Q17" s="16">
        <f>18571-25</f>
        <v>18546</v>
      </c>
      <c r="R17" s="17">
        <f>29444.52173-20.17362</f>
        <v>29424.348109999999</v>
      </c>
      <c r="S17" s="17">
        <v>23837.552463446347</v>
      </c>
    </row>
    <row r="18" spans="1:19" x14ac:dyDescent="0.25">
      <c r="A18" s="15" t="s">
        <v>12</v>
      </c>
      <c r="B18" s="16">
        <v>5931</v>
      </c>
      <c r="C18" s="16">
        <v>1298</v>
      </c>
      <c r="D18" s="16">
        <v>3090</v>
      </c>
      <c r="E18" s="16">
        <v>-1077</v>
      </c>
      <c r="F18" s="16">
        <v>3823</v>
      </c>
      <c r="G18" s="16">
        <v>1664</v>
      </c>
      <c r="H18" s="16">
        <v>12306</v>
      </c>
      <c r="I18" s="16">
        <v>12642</v>
      </c>
      <c r="J18" s="16">
        <v>14306</v>
      </c>
      <c r="K18" s="16">
        <v>14066</v>
      </c>
      <c r="L18" s="16">
        <f>10432-1500</f>
        <v>8932</v>
      </c>
      <c r="M18" s="16">
        <f>9717-315</f>
        <v>9402</v>
      </c>
      <c r="N18" s="16">
        <f>17123-0</f>
        <v>17123</v>
      </c>
      <c r="O18" s="16">
        <f>12997-923</f>
        <v>12074</v>
      </c>
      <c r="P18" s="16">
        <f>9717-308</f>
        <v>9409</v>
      </c>
      <c r="Q18" s="16">
        <v>7590</v>
      </c>
      <c r="R18" s="17">
        <f>4052.3422-122.07</f>
        <v>3930.2721999999999</v>
      </c>
      <c r="S18" s="17">
        <v>2329.4634588470453</v>
      </c>
    </row>
    <row r="19" spans="1:19" x14ac:dyDescent="0.25">
      <c r="A19" s="15" t="s">
        <v>13</v>
      </c>
      <c r="B19" s="16">
        <v>2476</v>
      </c>
      <c r="C19" s="16">
        <v>2630</v>
      </c>
      <c r="D19" s="16">
        <v>3627</v>
      </c>
      <c r="E19" s="16">
        <v>120</v>
      </c>
      <c r="F19" s="16">
        <v>2989</v>
      </c>
      <c r="G19" s="16">
        <v>5331</v>
      </c>
      <c r="H19" s="16">
        <v>3562</v>
      </c>
      <c r="I19" s="16">
        <v>6122</v>
      </c>
      <c r="J19" s="16">
        <v>7285</v>
      </c>
      <c r="K19" s="16">
        <v>2497</v>
      </c>
      <c r="L19" s="16">
        <f>4150-0</f>
        <v>4150</v>
      </c>
      <c r="M19" s="16">
        <f>7322-21</f>
        <v>7301</v>
      </c>
      <c r="N19" s="16">
        <f>3503-0</f>
        <v>3503</v>
      </c>
      <c r="O19" s="16">
        <f>4770-22</f>
        <v>4748</v>
      </c>
      <c r="P19" s="16">
        <f>3181-0</f>
        <v>3181</v>
      </c>
      <c r="Q19" s="16">
        <f>982-1</f>
        <v>981</v>
      </c>
      <c r="R19" s="17">
        <f>1511.802-0.405</f>
        <v>1511.3969999999999</v>
      </c>
      <c r="S19" s="17">
        <v>1106.22</v>
      </c>
    </row>
    <row r="20" spans="1:19" x14ac:dyDescent="0.25">
      <c r="A20" s="15" t="s">
        <v>22</v>
      </c>
      <c r="B20" s="16">
        <v>440</v>
      </c>
      <c r="C20" s="16">
        <v>112</v>
      </c>
      <c r="D20" s="16">
        <v>0</v>
      </c>
      <c r="E20" s="16">
        <v>-225</v>
      </c>
      <c r="F20" s="16">
        <v>42</v>
      </c>
      <c r="G20" s="16">
        <v>395</v>
      </c>
      <c r="H20" s="16">
        <v>1200</v>
      </c>
      <c r="I20" s="16">
        <v>798</v>
      </c>
      <c r="J20" s="16">
        <v>396</v>
      </c>
      <c r="K20" s="16">
        <v>505</v>
      </c>
      <c r="L20" s="16">
        <v>634</v>
      </c>
      <c r="M20" s="16">
        <v>976</v>
      </c>
      <c r="N20" s="16">
        <v>670</v>
      </c>
      <c r="O20" s="16">
        <v>49</v>
      </c>
      <c r="P20" s="16">
        <v>39</v>
      </c>
      <c r="Q20" s="16">
        <v>49</v>
      </c>
      <c r="R20" s="17">
        <f>36.3-0</f>
        <v>36.299999999999997</v>
      </c>
      <c r="S20" s="17">
        <v>12.336290019989022</v>
      </c>
    </row>
    <row r="21" spans="1:19" x14ac:dyDescent="0.25">
      <c r="A21" s="15" t="s">
        <v>32</v>
      </c>
      <c r="B21" s="16">
        <v>-272</v>
      </c>
      <c r="C21" s="16">
        <v>344</v>
      </c>
      <c r="D21" s="16">
        <v>505</v>
      </c>
      <c r="E21" s="16">
        <v>420</v>
      </c>
      <c r="F21" s="16">
        <v>1000</v>
      </c>
      <c r="G21" s="16">
        <v>2669</v>
      </c>
      <c r="H21" s="16">
        <v>4954</v>
      </c>
      <c r="I21" s="16">
        <v>5379</v>
      </c>
      <c r="J21" s="16">
        <v>9749</v>
      </c>
      <c r="K21" s="16">
        <v>7539</v>
      </c>
      <c r="L21" s="16">
        <v>7660</v>
      </c>
      <c r="M21" s="16">
        <v>6639</v>
      </c>
      <c r="N21" s="16">
        <v>5462</v>
      </c>
      <c r="O21" s="16">
        <v>4355</v>
      </c>
      <c r="P21" s="16">
        <v>3077</v>
      </c>
      <c r="Q21" s="16">
        <v>3653</v>
      </c>
      <c r="R21" s="17">
        <f>1916.81098-0.02</f>
        <v>1916.79098</v>
      </c>
      <c r="S21" s="17">
        <v>1504.1447629032136</v>
      </c>
    </row>
    <row r="22" spans="1:19" x14ac:dyDescent="0.25">
      <c r="A22" s="15" t="s">
        <v>14</v>
      </c>
      <c r="B22" s="16">
        <v>616</v>
      </c>
      <c r="C22" s="16">
        <v>-3285</v>
      </c>
      <c r="D22" s="16">
        <v>-5276</v>
      </c>
      <c r="E22" s="16">
        <v>-1417</v>
      </c>
      <c r="F22" s="16">
        <v>-1258</v>
      </c>
      <c r="G22" s="16">
        <v>-647</v>
      </c>
      <c r="H22" s="16">
        <v>-270</v>
      </c>
      <c r="I22" s="16">
        <v>-46</v>
      </c>
      <c r="J22" s="16">
        <v>-293</v>
      </c>
      <c r="K22" s="16">
        <v>364</v>
      </c>
      <c r="L22" s="16">
        <f>1414-830</f>
        <v>584</v>
      </c>
      <c r="M22" s="16">
        <f>1221-627</f>
        <v>594</v>
      </c>
      <c r="N22" s="16">
        <f>846-454</f>
        <v>392</v>
      </c>
      <c r="O22" s="16">
        <v>694</v>
      </c>
      <c r="P22" s="16">
        <v>455</v>
      </c>
      <c r="Q22" s="16">
        <v>349</v>
      </c>
      <c r="R22" s="17">
        <f>326.808-0.18144</f>
        <v>326.62655999999998</v>
      </c>
      <c r="S22" s="17">
        <v>346.25931990081784</v>
      </c>
    </row>
    <row r="23" spans="1:19" x14ac:dyDescent="0.25">
      <c r="A23" s="15" t="s">
        <v>15</v>
      </c>
      <c r="B23" s="16">
        <v>-339</v>
      </c>
      <c r="C23" s="16">
        <v>-222</v>
      </c>
      <c r="D23" s="16">
        <v>-82</v>
      </c>
      <c r="E23" s="16">
        <v>-82</v>
      </c>
      <c r="F23" s="16">
        <v>-188</v>
      </c>
      <c r="G23" s="16">
        <v>-103</v>
      </c>
      <c r="H23" s="16">
        <v>2214</v>
      </c>
      <c r="I23" s="16">
        <v>3902</v>
      </c>
      <c r="J23" s="16">
        <v>7706</v>
      </c>
      <c r="K23" s="16">
        <v>7279</v>
      </c>
      <c r="L23" s="16">
        <f>5602-45</f>
        <v>5557</v>
      </c>
      <c r="M23" s="16">
        <f>8527-20</f>
        <v>8507</v>
      </c>
      <c r="N23" s="16">
        <v>7909</v>
      </c>
      <c r="O23" s="16">
        <f>8133-21</f>
        <v>8112</v>
      </c>
      <c r="P23" s="16">
        <v>6160</v>
      </c>
      <c r="Q23" s="16">
        <v>8245</v>
      </c>
      <c r="R23" s="17">
        <f>3305-0.01455</f>
        <v>3304.9854500000001</v>
      </c>
      <c r="S23" s="17">
        <v>3969.4960000000001</v>
      </c>
    </row>
    <row r="24" spans="1:19" x14ac:dyDescent="0.25">
      <c r="A24" s="15" t="s">
        <v>16</v>
      </c>
      <c r="B24" s="16">
        <v>-1021</v>
      </c>
      <c r="C24" s="16">
        <v>-972</v>
      </c>
      <c r="D24" s="16">
        <v>-651</v>
      </c>
      <c r="E24" s="16">
        <v>-1074</v>
      </c>
      <c r="F24" s="16">
        <v>-1399</v>
      </c>
      <c r="G24" s="16">
        <v>-1181</v>
      </c>
      <c r="H24" s="16">
        <v>-1485</v>
      </c>
      <c r="I24" s="16">
        <v>-1657</v>
      </c>
      <c r="J24" s="16">
        <v>-1152</v>
      </c>
      <c r="K24" s="16">
        <v>-1130</v>
      </c>
      <c r="L24" s="16">
        <f>10-1075</f>
        <v>-1065</v>
      </c>
      <c r="M24" s="16">
        <f>8-1429</f>
        <v>-1421</v>
      </c>
      <c r="N24" s="16">
        <f>10-1075</f>
        <v>-1065</v>
      </c>
      <c r="O24" s="16">
        <f>9-1264</f>
        <v>-1255</v>
      </c>
      <c r="P24" s="16">
        <f>12-713</f>
        <v>-701</v>
      </c>
      <c r="Q24" s="16">
        <f>45-684</f>
        <v>-639</v>
      </c>
      <c r="R24" s="17">
        <f>9-862.04502</f>
        <v>-853.04502000000002</v>
      </c>
      <c r="S24" s="17">
        <v>-770.36020999511641</v>
      </c>
    </row>
    <row r="25" spans="1:19" x14ac:dyDescent="0.25">
      <c r="A25" s="15" t="s">
        <v>17</v>
      </c>
      <c r="B25" s="16">
        <v>1987</v>
      </c>
      <c r="C25" s="16">
        <v>2393</v>
      </c>
      <c r="D25" s="16">
        <v>4488</v>
      </c>
      <c r="E25" s="16">
        <v>4586</v>
      </c>
      <c r="F25" s="16">
        <v>8343</v>
      </c>
      <c r="G25" s="16">
        <v>16679</v>
      </c>
      <c r="H25" s="16">
        <v>21874</v>
      </c>
      <c r="I25" s="16">
        <v>16797</v>
      </c>
      <c r="J25" s="16">
        <v>29937</v>
      </c>
      <c r="K25" s="16">
        <v>36679</v>
      </c>
      <c r="L25" s="16">
        <f>44564-2309</f>
        <v>42255</v>
      </c>
      <c r="M25" s="16">
        <f>70383-8657</f>
        <v>61726</v>
      </c>
      <c r="N25" s="16">
        <f>64905-13659</f>
        <v>51246</v>
      </c>
      <c r="O25" s="16">
        <f>78813-4961</f>
        <v>73852</v>
      </c>
      <c r="P25" s="16">
        <f>68075-3503</f>
        <v>64572</v>
      </c>
      <c r="Q25" s="16">
        <f>63902-423</f>
        <v>63479</v>
      </c>
      <c r="R25" s="17">
        <f>66951.525-638.8228</f>
        <v>66312.7022</v>
      </c>
      <c r="S25" s="17">
        <v>53005.895000000004</v>
      </c>
    </row>
    <row r="26" spans="1:19" x14ac:dyDescent="0.25">
      <c r="A26" s="15" t="s">
        <v>18</v>
      </c>
      <c r="B26" s="16">
        <v>8645</v>
      </c>
      <c r="C26" s="16">
        <v>10925</v>
      </c>
      <c r="D26" s="16">
        <v>6067</v>
      </c>
      <c r="E26" s="16">
        <v>8807</v>
      </c>
      <c r="F26" s="16">
        <v>8703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6">
        <v>0</v>
      </c>
      <c r="P26" s="16">
        <v>0</v>
      </c>
      <c r="Q26" s="16">
        <v>0</v>
      </c>
      <c r="R26" s="17">
        <v>0</v>
      </c>
      <c r="S26" s="17">
        <v>0</v>
      </c>
    </row>
    <row r="27" spans="1:19" x14ac:dyDescent="0.25">
      <c r="A27" s="15" t="s">
        <v>19</v>
      </c>
      <c r="B27" s="16">
        <v>798</v>
      </c>
      <c r="C27" s="16">
        <v>3126</v>
      </c>
      <c r="D27" s="16">
        <v>2283</v>
      </c>
      <c r="E27" s="16">
        <v>1438</v>
      </c>
      <c r="F27" s="16">
        <v>1891</v>
      </c>
      <c r="G27" s="16">
        <v>0</v>
      </c>
      <c r="H27" s="16">
        <v>796</v>
      </c>
      <c r="I27" s="16">
        <v>820</v>
      </c>
      <c r="J27" s="16">
        <v>655</v>
      </c>
      <c r="K27" s="16">
        <v>1232</v>
      </c>
      <c r="L27" s="16">
        <f>1776-1061</f>
        <v>715</v>
      </c>
      <c r="M27" s="16">
        <f>1462-717</f>
        <v>745</v>
      </c>
      <c r="N27" s="16">
        <f>1337-1143</f>
        <v>194</v>
      </c>
      <c r="O27" s="16">
        <f>1151-1542</f>
        <v>-391</v>
      </c>
      <c r="P27" s="16">
        <f>985-1586</f>
        <v>-601</v>
      </c>
      <c r="Q27" s="16">
        <f>832-819</f>
        <v>13</v>
      </c>
      <c r="R27" s="17">
        <f>850.1-1837.10534</f>
        <v>-987.00534000000005</v>
      </c>
      <c r="S27" s="17">
        <v>-2838.3502000003809</v>
      </c>
    </row>
    <row r="28" spans="1:19" x14ac:dyDescent="0.25">
      <c r="A28" s="15" t="s">
        <v>20</v>
      </c>
      <c r="B28" s="16">
        <v>-2513</v>
      </c>
      <c r="C28" s="16">
        <v>-3615</v>
      </c>
      <c r="D28" s="16">
        <v>-248</v>
      </c>
      <c r="E28" s="16">
        <v>972</v>
      </c>
      <c r="F28" s="16">
        <v>216</v>
      </c>
      <c r="G28" s="16">
        <v>977</v>
      </c>
      <c r="H28" s="16">
        <v>1555</v>
      </c>
      <c r="I28" s="16">
        <v>3254</v>
      </c>
      <c r="J28" s="16">
        <v>3947</v>
      </c>
      <c r="K28" s="16">
        <v>1584</v>
      </c>
      <c r="L28" s="16">
        <f>12239-210</f>
        <v>12029</v>
      </c>
      <c r="M28" s="16">
        <f>8108-376</f>
        <v>7732</v>
      </c>
      <c r="N28" s="16">
        <f>3094-165</f>
        <v>2929</v>
      </c>
      <c r="O28" s="16">
        <f>2217-69</f>
        <v>2148</v>
      </c>
      <c r="P28" s="16">
        <f>2824-90</f>
        <v>2734</v>
      </c>
      <c r="Q28" s="16">
        <f>3165-50</f>
        <v>3115</v>
      </c>
      <c r="R28" s="17">
        <f>2202.37833-79.1384</f>
        <v>2123.2399300000002</v>
      </c>
      <c r="S28" s="17">
        <v>3581.4422214050296</v>
      </c>
    </row>
    <row r="29" spans="1:19" x14ac:dyDescent="0.25">
      <c r="A29" s="15" t="s">
        <v>21</v>
      </c>
      <c r="B29" s="16">
        <v>215</v>
      </c>
      <c r="C29" s="16">
        <v>129</v>
      </c>
      <c r="D29" s="16">
        <v>358</v>
      </c>
      <c r="E29" s="16">
        <v>334</v>
      </c>
      <c r="F29" s="16">
        <v>912</v>
      </c>
      <c r="G29" s="16">
        <v>3234</v>
      </c>
      <c r="H29" s="16">
        <v>722</v>
      </c>
      <c r="I29" s="16">
        <v>1463</v>
      </c>
      <c r="J29" s="16">
        <v>1400</v>
      </c>
      <c r="K29" s="16">
        <v>7920</v>
      </c>
      <c r="L29" s="16">
        <f>9082-136</f>
        <v>8946</v>
      </c>
      <c r="M29" s="16">
        <f>11463-194</f>
        <v>11269</v>
      </c>
      <c r="N29" s="16">
        <f>11990-167</f>
        <v>11823</v>
      </c>
      <c r="O29" s="16">
        <f>12029-180</f>
        <v>11849</v>
      </c>
      <c r="P29" s="16">
        <f>14065-68</f>
        <v>13997</v>
      </c>
      <c r="Q29" s="16">
        <f>17942-93</f>
        <v>17849</v>
      </c>
      <c r="R29" s="17">
        <f>20574.98714-172.32912</f>
        <v>20402.658020000003</v>
      </c>
      <c r="S29" s="17">
        <v>11786.754984628908</v>
      </c>
    </row>
    <row r="31" spans="1:19" x14ac:dyDescent="0.25">
      <c r="A31" s="9" t="s">
        <v>23</v>
      </c>
      <c r="C31" s="10"/>
      <c r="F31" s="3"/>
      <c r="G31" s="3"/>
      <c r="H31" s="3"/>
      <c r="I31" s="3"/>
      <c r="J31" s="3"/>
      <c r="K31" s="3"/>
    </row>
    <row r="32" spans="1:19" x14ac:dyDescent="0.25">
      <c r="A32" s="9" t="s">
        <v>24</v>
      </c>
      <c r="C32" s="10"/>
      <c r="F32" s="3"/>
      <c r="G32" s="3"/>
      <c r="H32" s="3"/>
      <c r="I32" s="3"/>
      <c r="J32" s="3"/>
      <c r="K32" s="3"/>
    </row>
    <row r="33" spans="1:11" x14ac:dyDescent="0.25">
      <c r="A33" s="9" t="s">
        <v>25</v>
      </c>
      <c r="C33" s="10"/>
      <c r="F33" s="3"/>
      <c r="G33" s="3"/>
      <c r="H33" s="3"/>
      <c r="I33" s="3"/>
      <c r="J33" s="3"/>
      <c r="K33" s="3"/>
    </row>
    <row r="34" spans="1:11" x14ac:dyDescent="0.25">
      <c r="A34" s="9" t="s">
        <v>26</v>
      </c>
      <c r="C34" s="10"/>
      <c r="F34" s="2"/>
      <c r="G34" s="2"/>
      <c r="H34" s="2"/>
      <c r="I34" s="2"/>
      <c r="J34" s="3"/>
      <c r="K34" s="3"/>
    </row>
    <row r="35" spans="1:11" x14ac:dyDescent="0.25">
      <c r="A35" s="5" t="s">
        <v>29</v>
      </c>
      <c r="C35" s="8"/>
      <c r="D35" s="6"/>
    </row>
    <row r="36" spans="1:11" x14ac:dyDescent="0.25">
      <c r="A36" s="7" t="s">
        <v>31</v>
      </c>
      <c r="C36" s="8"/>
      <c r="D36" s="6"/>
    </row>
    <row r="37" spans="1:11" x14ac:dyDescent="0.25">
      <c r="A37" s="12" t="s">
        <v>30</v>
      </c>
      <c r="C37" s="11"/>
      <c r="D37" s="6"/>
    </row>
    <row r="38" spans="1:11" x14ac:dyDescent="0.25">
      <c r="A38" s="8"/>
      <c r="B38" s="8"/>
      <c r="C38" s="8"/>
      <c r="D38" s="6"/>
    </row>
    <row r="39" spans="1:11" x14ac:dyDescent="0.25">
      <c r="A39" s="6"/>
      <c r="B39" s="6"/>
      <c r="C39" s="6"/>
      <c r="D39" s="6"/>
    </row>
  </sheetData>
  <mergeCells count="1">
    <mergeCell ref="A2:F2"/>
  </mergeCells>
  <hyperlinks>
    <hyperlink ref="A37" r:id="rId1" display="mailto:estadisticaslecheria@magyp.gob.ar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ME012</vt:lpstr>
    </vt:vector>
  </TitlesOfParts>
  <Company>MAGyP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Eugenia Scuderi</dc:creator>
  <cp:lastModifiedBy>Joaquin Perez Martin</cp:lastModifiedBy>
  <dcterms:created xsi:type="dcterms:W3CDTF">2016-03-11T12:44:41Z</dcterms:created>
  <dcterms:modified xsi:type="dcterms:W3CDTF">2018-06-11T20:19:58Z</dcterms:modified>
</cp:coreProperties>
</file>